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624"/>
  <workbookPr date1904="1" showInkAnnotation="0" autoCompressPictures="0"/>
  <bookViews>
    <workbookView xWindow="0" yWindow="0" windowWidth="22260" windowHeight="15720" tabRatio="500" firstSheet="2" activeTab="6"/>
  </bookViews>
  <sheets>
    <sheet name="computations" sheetId="1" r:id="rId1"/>
    <sheet name="joint-table" sheetId="2" r:id="rId2"/>
    <sheet name="Bayesian coin" sheetId="3" r:id="rId3"/>
    <sheet name="Naive Bayes" sheetId="4" r:id="rId4"/>
    <sheet name="regress" sheetId="5" r:id="rId5"/>
    <sheet name="perceptron" sheetId="6" r:id="rId6"/>
    <sheet name="nearest-neighbor" sheetId="7" r:id="rId7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0" i="6" l="1"/>
  <c r="C39" i="6"/>
  <c r="C38" i="6"/>
  <c r="C37" i="6"/>
  <c r="A40" i="6"/>
  <c r="B37" i="6"/>
  <c r="A37" i="6"/>
  <c r="F28" i="6"/>
  <c r="G28" i="6"/>
  <c r="H28" i="6"/>
  <c r="H8" i="6"/>
  <c r="D8" i="6"/>
  <c r="C8" i="6"/>
  <c r="K8" i="6"/>
  <c r="H9" i="6"/>
  <c r="D9" i="6"/>
  <c r="K9" i="6"/>
  <c r="H10" i="6"/>
  <c r="D10" i="6"/>
  <c r="K10" i="6"/>
  <c r="H11" i="6"/>
  <c r="H19" i="6"/>
  <c r="G8" i="6"/>
  <c r="B8" i="6"/>
  <c r="J8" i="6"/>
  <c r="G9" i="6"/>
  <c r="J9" i="6"/>
  <c r="G10" i="6"/>
  <c r="J10" i="6"/>
  <c r="G11" i="6"/>
  <c r="G19" i="6"/>
  <c r="F8" i="6"/>
  <c r="I8" i="6"/>
  <c r="F9" i="6"/>
  <c r="I9" i="6"/>
  <c r="F10" i="6"/>
  <c r="I10" i="6"/>
  <c r="F11" i="6"/>
  <c r="F19" i="6"/>
  <c r="D19" i="6"/>
  <c r="C19" i="6"/>
  <c r="K19" i="6"/>
  <c r="H20" i="6"/>
  <c r="D20" i="6"/>
  <c r="K20" i="6"/>
  <c r="H21" i="6"/>
  <c r="D21" i="6"/>
  <c r="H22" i="6"/>
  <c r="B19" i="6"/>
  <c r="J19" i="6"/>
  <c r="G20" i="6"/>
  <c r="J20" i="6"/>
  <c r="G21" i="6"/>
  <c r="G22" i="6"/>
  <c r="I19" i="6"/>
  <c r="F20" i="6"/>
  <c r="I20" i="6"/>
  <c r="F21" i="6"/>
  <c r="F22" i="6"/>
  <c r="B22" i="6"/>
  <c r="E22" i="6"/>
  <c r="D22" i="6"/>
  <c r="A22" i="6"/>
  <c r="E21" i="6"/>
  <c r="A21" i="6"/>
  <c r="E20" i="6"/>
  <c r="A20" i="6"/>
  <c r="E19" i="6"/>
  <c r="A19" i="6"/>
  <c r="D31" i="6"/>
  <c r="B31" i="6"/>
  <c r="A31" i="6"/>
  <c r="D30" i="6"/>
  <c r="A30" i="6"/>
  <c r="D29" i="6"/>
  <c r="A29" i="6"/>
  <c r="D28" i="6"/>
  <c r="C28" i="6"/>
  <c r="B28" i="6"/>
  <c r="A28" i="6"/>
  <c r="B11" i="6"/>
  <c r="E11" i="6"/>
  <c r="E10" i="6"/>
  <c r="E9" i="6"/>
  <c r="E8" i="6"/>
  <c r="D11" i="6"/>
  <c r="E31" i="6"/>
  <c r="E30" i="6"/>
  <c r="E29" i="6"/>
  <c r="E28" i="6"/>
  <c r="A11" i="6"/>
  <c r="A10" i="6"/>
  <c r="A9" i="6"/>
  <c r="A8" i="6"/>
  <c r="C46" i="5"/>
  <c r="F11" i="5"/>
  <c r="F10" i="5"/>
  <c r="F9" i="5"/>
  <c r="H7" i="4"/>
  <c r="H12" i="4"/>
  <c r="A8" i="4"/>
  <c r="M12" i="4"/>
  <c r="I7" i="4"/>
  <c r="M7" i="4"/>
  <c r="B27" i="3"/>
  <c r="B2" i="3"/>
  <c r="B23" i="3"/>
  <c r="B24" i="3"/>
  <c r="B25" i="3"/>
  <c r="B26" i="3"/>
  <c r="B28" i="3"/>
  <c r="C27" i="3"/>
  <c r="C26" i="3"/>
  <c r="C25" i="3"/>
  <c r="C24" i="3"/>
  <c r="C23" i="3"/>
  <c r="C28" i="3"/>
  <c r="A23" i="3"/>
  <c r="D2" i="3"/>
  <c r="D3" i="3"/>
  <c r="D4" i="3"/>
  <c r="D5" i="3"/>
  <c r="D6" i="3"/>
  <c r="D7" i="3"/>
  <c r="B15" i="3"/>
  <c r="B14" i="3"/>
  <c r="B13" i="3"/>
  <c r="B12" i="3"/>
  <c r="B11" i="3"/>
  <c r="D11" i="3"/>
  <c r="D12" i="3"/>
  <c r="D13" i="3"/>
  <c r="D14" i="3"/>
  <c r="D15" i="3"/>
  <c r="D16" i="3"/>
  <c r="C16" i="3"/>
  <c r="C7" i="3"/>
  <c r="C37" i="1"/>
  <c r="C32" i="1"/>
  <c r="C35" i="1"/>
  <c r="D27" i="1"/>
  <c r="C34" i="1"/>
  <c r="C33" i="1"/>
  <c r="D26" i="1"/>
  <c r="C4" i="1"/>
  <c r="D25" i="1"/>
  <c r="B19" i="1"/>
  <c r="D24" i="1"/>
  <c r="C16" i="1"/>
  <c r="B14" i="1"/>
  <c r="B10" i="1"/>
  <c r="E4" i="1"/>
  <c r="B4" i="1"/>
  <c r="F4" i="1"/>
  <c r="D4" i="1"/>
  <c r="D9" i="2"/>
  <c r="F3" i="2"/>
  <c r="C20" i="2"/>
  <c r="D25" i="2"/>
  <c r="D11" i="2"/>
  <c r="D20" i="2"/>
  <c r="D26" i="2"/>
  <c r="A20" i="2"/>
  <c r="B20" i="2"/>
  <c r="D29" i="2"/>
  <c r="D10" i="2"/>
  <c r="E9" i="2"/>
  <c r="D15" i="2"/>
  <c r="D8" i="2"/>
  <c r="C5" i="2"/>
  <c r="B5" i="2"/>
  <c r="D5" i="2"/>
  <c r="E5" i="2"/>
  <c r="F5" i="2"/>
  <c r="F4" i="2"/>
  <c r="A19" i="4"/>
  <c r="B8" i="4"/>
  <c r="B19" i="4"/>
  <c r="C8" i="4"/>
  <c r="C19" i="4"/>
  <c r="D8" i="4"/>
  <c r="D19" i="4"/>
  <c r="E8" i="4"/>
  <c r="E19" i="4"/>
  <c r="F19" i="4"/>
  <c r="F8" i="4"/>
  <c r="A63" i="5"/>
  <c r="A64" i="5"/>
  <c r="B64" i="5"/>
  <c r="D63" i="5"/>
  <c r="E63" i="5"/>
  <c r="H63" i="5"/>
  <c r="A62" i="5"/>
  <c r="D62" i="5"/>
  <c r="E62" i="5"/>
  <c r="H62" i="5"/>
  <c r="A61" i="5"/>
  <c r="B61" i="5"/>
  <c r="D61" i="5"/>
  <c r="C61" i="5"/>
  <c r="E61" i="5"/>
  <c r="H61" i="5"/>
  <c r="A60" i="5"/>
  <c r="B60" i="5"/>
  <c r="D60" i="5"/>
  <c r="E60" i="5"/>
  <c r="H60" i="5"/>
  <c r="A59" i="5"/>
  <c r="B59" i="5"/>
  <c r="D59" i="5"/>
  <c r="E59" i="5"/>
  <c r="H59" i="5"/>
  <c r="G63" i="5"/>
  <c r="G62" i="5"/>
  <c r="G61" i="5"/>
  <c r="G60" i="5"/>
  <c r="G59" i="5"/>
  <c r="H64" i="5"/>
  <c r="G64" i="5"/>
  <c r="B46" i="5"/>
  <c r="B45" i="5"/>
  <c r="B44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</calcChain>
</file>

<file path=xl/sharedStrings.xml><?xml version="1.0" encoding="utf-8"?>
<sst xmlns="http://schemas.openxmlformats.org/spreadsheetml/2006/main" count="272" uniqueCount="160">
  <si>
    <t>to get these results, run stat plus while excel sheet is open. Choose statistics -&gt; regression</t>
  </si>
  <si>
    <t>R</t>
  </si>
  <si>
    <t>R Square</t>
  </si>
  <si>
    <t>Adjusted R Square</t>
  </si>
  <si>
    <t>Standard Error</t>
  </si>
  <si>
    <t>Total Number Of Cases</t>
  </si>
  <si>
    <t>Term Mark = 0.0000 + 0.6000 * Ass Average + 0.1500 * Midterm + 0.2500 * Project</t>
  </si>
  <si>
    <t>ANOVA</t>
  </si>
  <si>
    <t/>
  </si>
  <si>
    <t>d.f.</t>
  </si>
  <si>
    <t>SS</t>
  </si>
  <si>
    <t>MS</t>
  </si>
  <si>
    <t>p-level</t>
  </si>
  <si>
    <t>Regression</t>
  </si>
  <si>
    <t>#N/A</t>
  </si>
  <si>
    <t>Residual</t>
  </si>
  <si>
    <t>Total</t>
  </si>
  <si>
    <t>Coefficients</t>
  </si>
  <si>
    <t>LCL</t>
  </si>
  <si>
    <t>UCL</t>
  </si>
  <si>
    <t>t Stat</t>
  </si>
  <si>
    <t>H0 (2%) rejected?</t>
  </si>
  <si>
    <t>Intercept</t>
  </si>
  <si>
    <t>Yes</t>
  </si>
  <si>
    <t>T (2%)</t>
  </si>
  <si>
    <t>LCL - Lower value of a reliable interval (LCL)</t>
  </si>
  <si>
    <t>UCL - Upper value of a reliable interval (UCL)</t>
  </si>
  <si>
    <t>Residuals</t>
  </si>
  <si>
    <t>Observation</t>
  </si>
  <si>
    <t>Predicted Y</t>
  </si>
  <si>
    <t>Standard Residuals</t>
  </si>
  <si>
    <t xml:space="preserve">overall </t>
  </si>
  <si>
    <t>gradient</t>
  </si>
  <si>
    <t>dummy</t>
    <phoneticPr fontId="2" type="noConversion"/>
  </si>
  <si>
    <t>w0</t>
    <phoneticPr fontId="2" type="noConversion"/>
  </si>
  <si>
    <t>weights</t>
    <phoneticPr fontId="2" type="noConversion"/>
  </si>
  <si>
    <t>w0</t>
    <phoneticPr fontId="2" type="noConversion"/>
  </si>
  <si>
    <t>w1</t>
    <phoneticPr fontId="2" type="noConversion"/>
  </si>
  <si>
    <t>predicted</t>
    <phoneticPr fontId="2" type="noConversion"/>
  </si>
  <si>
    <t>error in gradient</t>
    <phoneticPr fontId="2" type="noConversion"/>
  </si>
  <si>
    <t>minus</t>
    <phoneticPr fontId="2" type="noConversion"/>
  </si>
  <si>
    <t>gradient</t>
    <phoneticPr fontId="2" type="noConversion"/>
  </si>
  <si>
    <t>minus gradient</t>
    <phoneticPr fontId="2" type="noConversion"/>
  </si>
  <si>
    <t>Cavity</t>
    <phoneticPr fontId="2" type="noConversion"/>
  </si>
  <si>
    <t>Tootache F, Cavity = T</t>
    <phoneticPr fontId="2" type="noConversion"/>
  </si>
  <si>
    <t>T = F|Cav = T</t>
    <phoneticPr fontId="2" type="noConversion"/>
  </si>
  <si>
    <t>Catch = F, Cav = T</t>
    <phoneticPr fontId="2" type="noConversion"/>
  </si>
  <si>
    <t>P(Catch=F|Cav=T)</t>
    <phoneticPr fontId="2" type="noConversion"/>
  </si>
  <si>
    <t>Cavity = F, Tooth = F</t>
  </si>
  <si>
    <t>Cavity = true, Toothache = F</t>
  </si>
  <si>
    <t>toothache = F</t>
  </si>
  <si>
    <t>Cavity = true, Toothache = T</t>
  </si>
  <si>
    <t>Cavity</t>
  </si>
  <si>
    <t>Tootache</t>
  </si>
  <si>
    <t>T</t>
  </si>
  <si>
    <t>F</t>
  </si>
  <si>
    <t>Cavity = F</t>
  </si>
  <si>
    <t>Toothache = F</t>
  </si>
  <si>
    <t>C =F, T = F</t>
  </si>
  <si>
    <t>Cavity</t>
    <phoneticPr fontId="2" type="noConversion"/>
  </si>
  <si>
    <t>OR</t>
    <phoneticPr fontId="2" type="noConversion"/>
  </si>
  <si>
    <t>Toothache</t>
    <phoneticPr fontId="2" type="noConversion"/>
  </si>
  <si>
    <t>F</t>
    <phoneticPr fontId="2" type="noConversion"/>
  </si>
  <si>
    <t>F</t>
    <phoneticPr fontId="2" type="noConversion"/>
  </si>
  <si>
    <t>Prob</t>
    <phoneticPr fontId="2" type="noConversion"/>
  </si>
  <si>
    <t>Not Cavity</t>
    <phoneticPr fontId="2" type="noConversion"/>
  </si>
  <si>
    <t>catch</t>
    <phoneticPr fontId="2" type="noConversion"/>
  </si>
  <si>
    <t>not catch</t>
    <phoneticPr fontId="2" type="noConversion"/>
  </si>
  <si>
    <t>Tootache</t>
    <phoneticPr fontId="2" type="noConversion"/>
  </si>
  <si>
    <t>AND</t>
    <phoneticPr fontId="2" type="noConversion"/>
  </si>
  <si>
    <t>F</t>
    <phoneticPr fontId="2" type="noConversion"/>
  </si>
  <si>
    <t>F</t>
    <phoneticPr fontId="2" type="noConversion"/>
  </si>
  <si>
    <t>Prob</t>
    <phoneticPr fontId="2" type="noConversion"/>
  </si>
  <si>
    <t>OR</t>
    <phoneticPr fontId="2" type="noConversion"/>
  </si>
  <si>
    <t>T</t>
    <phoneticPr fontId="2" type="noConversion"/>
  </si>
  <si>
    <t>not toothache</t>
    <phoneticPr fontId="2" type="noConversion"/>
  </si>
  <si>
    <t>toothache</t>
    <phoneticPr fontId="2" type="noConversion"/>
  </si>
  <si>
    <t>OR</t>
    <phoneticPr fontId="2" type="noConversion"/>
  </si>
  <si>
    <t>And</t>
    <phoneticPr fontId="2" type="noConversion"/>
  </si>
  <si>
    <t>not</t>
    <phoneticPr fontId="2" type="noConversion"/>
  </si>
  <si>
    <t>T</t>
    <phoneticPr fontId="2" type="noConversion"/>
  </si>
  <si>
    <t>Cavity</t>
    <phoneticPr fontId="2" type="noConversion"/>
  </si>
  <si>
    <t>given</t>
    <phoneticPr fontId="2" type="noConversion"/>
  </si>
  <si>
    <t>Cavity</t>
    <phoneticPr fontId="2" type="noConversion"/>
  </si>
  <si>
    <t>T</t>
    <phoneticPr fontId="2" type="noConversion"/>
  </si>
  <si>
    <t>given</t>
    <phoneticPr fontId="2" type="noConversion"/>
  </si>
  <si>
    <t>Tootache</t>
    <phoneticPr fontId="2" type="noConversion"/>
  </si>
  <si>
    <t>T</t>
    <phoneticPr fontId="2" type="noConversion"/>
  </si>
  <si>
    <t>T</t>
    <phoneticPr fontId="2" type="noConversion"/>
  </si>
  <si>
    <t>Chance of Heads</t>
  </si>
  <si>
    <t>Probability of Chance</t>
  </si>
  <si>
    <t>Product</t>
  </si>
  <si>
    <t>Totals</t>
  </si>
  <si>
    <t>MEAN</t>
  </si>
  <si>
    <t>Squared mean distance</t>
  </si>
  <si>
    <t>VARIANCE = mean squared distance</t>
  </si>
  <si>
    <t>Classification Formula</t>
  </si>
  <si>
    <t>Prior</t>
  </si>
  <si>
    <t>Outlook</t>
  </si>
  <si>
    <t>Temperature</t>
  </si>
  <si>
    <t>Wind</t>
  </si>
  <si>
    <t>P(PT=yes)</t>
  </si>
  <si>
    <t>P(PT=no)</t>
  </si>
  <si>
    <t>P(o|PT=no)</t>
  </si>
  <si>
    <t>Humidity</t>
  </si>
  <si>
    <t>P(h|PT=no)</t>
  </si>
  <si>
    <t>P(sunny|PT=yes)</t>
  </si>
  <si>
    <t>P(cool|PT=yes)</t>
  </si>
  <si>
    <t>P(strong|PT=yes)</t>
  </si>
  <si>
    <t>P(high|PT=yes)</t>
  </si>
  <si>
    <t>P(sunny|PT=no)</t>
  </si>
  <si>
    <t>P(cool|PT=no)</t>
  </si>
  <si>
    <t>P(strong|PT=no)</t>
  </si>
  <si>
    <t>P(high|PT=no)</t>
  </si>
  <si>
    <t>P(PT=yes)/</t>
  </si>
  <si>
    <t>P(o|PT=yes)/</t>
  </si>
  <si>
    <t>P(h|PT=yes)/</t>
  </si>
  <si>
    <t>Log-ratios</t>
  </si>
  <si>
    <t>Sum</t>
  </si>
  <si>
    <t>Prior Probability of Chance</t>
  </si>
  <si>
    <t>Posterior Update after seeing one head</t>
  </si>
  <si>
    <t>Likelihood x Prior</t>
  </si>
  <si>
    <t>Sum =</t>
  </si>
  <si>
    <t>Normalization constant</t>
  </si>
  <si>
    <t>Posterior Probability of Chance</t>
  </si>
  <si>
    <t>Grades</t>
  </si>
  <si>
    <t>Ass Average</t>
  </si>
  <si>
    <t>Midterm</t>
  </si>
  <si>
    <t>Project</t>
  </si>
  <si>
    <t>Term Mark</t>
  </si>
  <si>
    <t>student id</t>
  </si>
  <si>
    <t>Toy Example</t>
  </si>
  <si>
    <t>x</t>
  </si>
  <si>
    <t>y</t>
  </si>
  <si>
    <t>r-squared = correlation between predicted outcome and actual outcome</t>
  </si>
  <si>
    <t>Linear Regression</t>
  </si>
  <si>
    <t>Regression Statistics</t>
  </si>
  <si>
    <t>Odds Ratios</t>
  </si>
  <si>
    <t>Log-Odds</t>
  </si>
  <si>
    <t>Basic Product Formula</t>
  </si>
  <si>
    <t>Data (the AND function)</t>
  </si>
  <si>
    <t>x1</t>
  </si>
  <si>
    <t>x2</t>
  </si>
  <si>
    <t>Weights</t>
  </si>
  <si>
    <t>w0</t>
  </si>
  <si>
    <t>w1</t>
  </si>
  <si>
    <t>w2</t>
  </si>
  <si>
    <t>delta1</t>
  </si>
  <si>
    <t>delta2</t>
  </si>
  <si>
    <t>t</t>
  </si>
  <si>
    <t>y value</t>
  </si>
  <si>
    <t>delta0</t>
  </si>
  <si>
    <t>minus Gradient</t>
  </si>
  <si>
    <t>x0 (dummy)</t>
  </si>
  <si>
    <t>current</t>
  </si>
  <si>
    <t>Round 2</t>
  </si>
  <si>
    <t>XOR</t>
  </si>
  <si>
    <t>Russell and Norvig</t>
  </si>
  <si>
    <t>positive</t>
  </si>
  <si>
    <t>negative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</si>
</sst>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1" x14ac:knownFonts="1">
    <font>
      <sz val="10"/>
      <name val="Verdana"/>
    </font>
    <font>
      <b/>
      <sz val="10"/>
      <name val="Verdana"/>
    </font>
    <font>
      <sz val="8"/>
      <name val="Verdana"/>
    </font>
    <font>
      <sz val="10"/>
      <name val="Verdana"/>
    </font>
    <font>
      <sz val="10"/>
      <color theme="5"/>
      <name val="Verdana"/>
      <family val="2"/>
    </font>
    <font>
      <u/>
      <sz val="10"/>
      <color indexed="12"/>
      <name val="Verdana"/>
    </font>
    <font>
      <u/>
      <sz val="10"/>
      <color indexed="20"/>
      <name val="Verdana"/>
    </font>
    <font>
      <sz val="1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3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</cellXfs>
  <cellStyles count="5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Relationship Id="rId11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'Bayesian coin'!$C$1</c:f>
              <c:strCache>
                <c:ptCount val="1"/>
                <c:pt idx="0">
                  <c:v>Prior Probability of Chance</c:v>
                </c:pt>
              </c:strCache>
            </c:strRef>
          </c:tx>
          <c:invertIfNegative val="0"/>
          <c:val>
            <c:numRef>
              <c:f>'Bayesian coin'!$C$2:$C$6</c:f>
              <c:numCache>
                <c:formatCode>General</c:formatCode>
                <c:ptCount val="5"/>
                <c:pt idx="0">
                  <c:v>0.1</c:v>
                </c:pt>
                <c:pt idx="1">
                  <c:v>0.2</c:v>
                </c:pt>
                <c:pt idx="2">
                  <c:v>0.4</c:v>
                </c:pt>
                <c:pt idx="3">
                  <c:v>0.2</c:v>
                </c:pt>
                <c:pt idx="4">
                  <c:v>0.1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7486408"/>
        <c:axId val="2140478696"/>
      </c:barChart>
      <c:catAx>
        <c:axId val="2117486408"/>
        <c:scaling>
          <c:orientation val="minMax"/>
        </c:scaling>
        <c:delete val="0"/>
        <c:axPos val="l"/>
        <c:majorTickMark val="out"/>
        <c:minorTickMark val="none"/>
        <c:tickLblPos val="nextTo"/>
        <c:crossAx val="2140478696"/>
        <c:crosses val="autoZero"/>
        <c:auto val="1"/>
        <c:lblAlgn val="ctr"/>
        <c:lblOffset val="100"/>
        <c:noMultiLvlLbl val="0"/>
      </c:catAx>
      <c:valAx>
        <c:axId val="21404786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174864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'Bayesian coin'!$C$22</c:f>
              <c:strCache>
                <c:ptCount val="1"/>
                <c:pt idx="0">
                  <c:v>Posterior Probability of Chance</c:v>
                </c:pt>
              </c:strCache>
            </c:strRef>
          </c:tx>
          <c:invertIfNegative val="0"/>
          <c:val>
            <c:numRef>
              <c:f>'Bayesian coin'!$C$23:$C$27</c:f>
              <c:numCache>
                <c:formatCode>General</c:formatCode>
                <c:ptCount val="5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0.1</c:v>
                </c:pt>
                <c:pt idx="4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055720"/>
        <c:axId val="2140058664"/>
      </c:barChart>
      <c:catAx>
        <c:axId val="2140055720"/>
        <c:scaling>
          <c:orientation val="minMax"/>
        </c:scaling>
        <c:delete val="0"/>
        <c:axPos val="l"/>
        <c:majorTickMark val="out"/>
        <c:minorTickMark val="none"/>
        <c:tickLblPos val="nextTo"/>
        <c:crossAx val="2140058664"/>
        <c:crosses val="autoZero"/>
        <c:auto val="1"/>
        <c:lblAlgn val="ctr"/>
        <c:lblOffset val="100"/>
        <c:noMultiLvlLbl val="0"/>
      </c:catAx>
      <c:valAx>
        <c:axId val="2140058664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21400557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linear regression</a:t>
            </a:r>
            <a:r>
              <a:rPr lang="en-US" baseline="0"/>
              <a:t> of Y on X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regress!$C$43</c:f>
              <c:strCache>
                <c:ptCount val="1"/>
                <c:pt idx="0">
                  <c:v>y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0"/>
            <c:dispEq val="0"/>
          </c:trendline>
          <c:trendline>
            <c:trendlineType val="linear"/>
            <c:dispRSqr val="1"/>
            <c:dispEq val="1"/>
            <c:trendlineLbl>
              <c:numFmt formatCode="General" sourceLinked="0"/>
              <c:txPr>
                <a:bodyPr/>
                <a:lstStyle/>
                <a:p>
                  <a:pPr>
                    <a:defRPr sz="2400"/>
                  </a:pPr>
                  <a:endParaRPr lang="en-US"/>
                </a:p>
              </c:txPr>
            </c:trendlineLbl>
          </c:trendline>
          <c:xVal>
            <c:numRef>
              <c:f>regress!$B$44:$B$48</c:f>
              <c:numCache>
                <c:formatCode>General</c:formatCode>
                <c:ptCount val="5"/>
                <c:pt idx="0">
                  <c:v>-20.0</c:v>
                </c:pt>
                <c:pt idx="1">
                  <c:v>-10.0</c:v>
                </c:pt>
                <c:pt idx="2">
                  <c:v>0.0</c:v>
                </c:pt>
                <c:pt idx="3">
                  <c:v>10.0</c:v>
                </c:pt>
                <c:pt idx="4">
                  <c:v>20.0</c:v>
                </c:pt>
              </c:numCache>
            </c:numRef>
          </c:xVal>
          <c:yVal>
            <c:numRef>
              <c:f>regress!$C$44:$C$48</c:f>
              <c:numCache>
                <c:formatCode>General</c:formatCode>
                <c:ptCount val="5"/>
                <c:pt idx="0">
                  <c:v>-40.0</c:v>
                </c:pt>
                <c:pt idx="1">
                  <c:v>-20.0</c:v>
                </c:pt>
                <c:pt idx="2">
                  <c:v>10.0</c:v>
                </c:pt>
                <c:pt idx="3">
                  <c:v>20.0</c:v>
                </c:pt>
                <c:pt idx="4">
                  <c:v>40.0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5183880"/>
        <c:axId val="2145189192"/>
      </c:scatterChart>
      <c:valAx>
        <c:axId val="2145183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</a:t>
                </a:r>
              </a:p>
              <a:p>
                <a:pPr>
                  <a:defRPr/>
                </a:pPr>
                <a:endParaRPr lang="en-U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145189192"/>
        <c:crosses val="autoZero"/>
        <c:crossBetween val="midCat"/>
      </c:valAx>
      <c:valAx>
        <c:axId val="2145189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1451838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711200</xdr:colOff>
      <xdr:row>1</xdr:row>
      <xdr:rowOff>0</xdr:rowOff>
    </xdr:from>
    <xdr:to>
      <xdr:col>11</xdr:col>
      <xdr:colOff>393700</xdr:colOff>
      <xdr:row>17</xdr:row>
      <xdr:rowOff>101600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504825</xdr:colOff>
      <xdr:row>0</xdr:row>
      <xdr:rowOff>142875</xdr:rowOff>
    </xdr:from>
    <xdr:to>
      <xdr:col>17</xdr:col>
      <xdr:colOff>47625</xdr:colOff>
      <xdr:row>17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37</xdr:row>
      <xdr:rowOff>19051</xdr:rowOff>
    </xdr:from>
    <xdr:to>
      <xdr:col>11</xdr:col>
      <xdr:colOff>95251</xdr:colOff>
      <xdr:row>53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7"/>
  <sheetViews>
    <sheetView view="pageLayout" workbookViewId="0">
      <selection activeCell="E3" sqref="E3"/>
    </sheetView>
  </sheetViews>
  <sheetFormatPr baseColWidth="10" defaultColWidth="11" defaultRowHeight="13" x14ac:dyDescent="0"/>
  <cols>
    <col min="2" max="2" width="16.5703125" customWidth="1"/>
    <col min="3" max="3" width="24.140625" customWidth="1"/>
    <col min="4" max="4" width="19.28515625" customWidth="1"/>
    <col min="5" max="5" width="16.5703125" customWidth="1"/>
  </cols>
  <sheetData>
    <row r="2" spans="2:8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4" spans="2:8">
      <c r="B4">
        <f>0.108+0.012+0.072+0.008</f>
        <v>0.2</v>
      </c>
      <c r="C4">
        <f>0.072+0.08</f>
        <v>0.152</v>
      </c>
      <c r="D4">
        <f>C4/B4</f>
        <v>0.7599999999999999</v>
      </c>
      <c r="E4">
        <f>0.012+0.08</f>
        <v>9.1999999999999998E-2</v>
      </c>
      <c r="F4">
        <f>E4/B4</f>
        <v>0.45999999999999996</v>
      </c>
    </row>
    <row r="8" spans="2:8">
      <c r="B8" t="s">
        <v>48</v>
      </c>
      <c r="E8" t="s">
        <v>59</v>
      </c>
      <c r="F8" t="s">
        <v>60</v>
      </c>
      <c r="G8" t="s">
        <v>61</v>
      </c>
      <c r="H8" t="s">
        <v>64</v>
      </c>
    </row>
    <row r="10" spans="2:8">
      <c r="B10">
        <f>0.144+0.576</f>
        <v>0.72</v>
      </c>
      <c r="E10" t="s">
        <v>62</v>
      </c>
      <c r="G10" t="s">
        <v>63</v>
      </c>
    </row>
    <row r="12" spans="2:8">
      <c r="B12" t="s">
        <v>49</v>
      </c>
    </row>
    <row r="14" spans="2:8">
      <c r="B14">
        <f>0.072+0.008</f>
        <v>7.9999999999999988E-2</v>
      </c>
    </row>
    <row r="16" spans="2:8">
      <c r="B16" t="s">
        <v>50</v>
      </c>
      <c r="C16">
        <f>0.072+0.008+0.144+0.576</f>
        <v>0.79999999999999993</v>
      </c>
    </row>
    <row r="18" spans="2:4">
      <c r="B18" t="s">
        <v>51</v>
      </c>
    </row>
    <row r="19" spans="2:4">
      <c r="B19">
        <f>0.108+0.012</f>
        <v>0.12</v>
      </c>
    </row>
    <row r="22" spans="2:4">
      <c r="B22" t="s">
        <v>52</v>
      </c>
      <c r="C22" t="s">
        <v>53</v>
      </c>
    </row>
    <row r="24" spans="2:4">
      <c r="B24" t="s">
        <v>54</v>
      </c>
      <c r="C24" t="s">
        <v>54</v>
      </c>
      <c r="D24">
        <f>B19</f>
        <v>0.12</v>
      </c>
    </row>
    <row r="25" spans="2:4">
      <c r="B25" t="s">
        <v>54</v>
      </c>
      <c r="C25" t="s">
        <v>55</v>
      </c>
      <c r="D25">
        <f>C4</f>
        <v>0.152</v>
      </c>
    </row>
    <row r="26" spans="2:4">
      <c r="B26" t="s">
        <v>55</v>
      </c>
      <c r="C26" t="s">
        <v>54</v>
      </c>
      <c r="D26">
        <f>0.016+0.064</f>
        <v>0.08</v>
      </c>
    </row>
    <row r="27" spans="2:4">
      <c r="B27" t="s">
        <v>55</v>
      </c>
      <c r="C27" t="s">
        <v>55</v>
      </c>
      <c r="D27">
        <f>0.144+0.576</f>
        <v>0.72</v>
      </c>
    </row>
    <row r="32" spans="2:4">
      <c r="B32" t="s">
        <v>56</v>
      </c>
      <c r="C32">
        <f>0.8</f>
        <v>0.8</v>
      </c>
    </row>
    <row r="33" spans="2:3">
      <c r="B33" t="s">
        <v>57</v>
      </c>
      <c r="C33">
        <f>0.8</f>
        <v>0.8</v>
      </c>
    </row>
    <row r="34" spans="2:3">
      <c r="B34" t="s">
        <v>58</v>
      </c>
      <c r="C34">
        <f>D27</f>
        <v>0.72</v>
      </c>
    </row>
    <row r="35" spans="2:3">
      <c r="C35">
        <f>C32+C36-C37</f>
        <v>-8.0000000000000071E-2</v>
      </c>
    </row>
    <row r="37" spans="2:3">
      <c r="C37">
        <f>2*0.8-0.72</f>
        <v>0.88000000000000012</v>
      </c>
    </row>
  </sheetData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view="pageLayout" workbookViewId="0">
      <selection activeCell="D25" sqref="D25"/>
    </sheetView>
  </sheetViews>
  <sheetFormatPr baseColWidth="10" defaultColWidth="11" defaultRowHeight="13" x14ac:dyDescent="0"/>
  <sheetData>
    <row r="1" spans="1:6">
      <c r="B1" s="14" t="s">
        <v>76</v>
      </c>
      <c r="C1" s="14"/>
      <c r="D1" s="14" t="s">
        <v>75</v>
      </c>
      <c r="E1" s="14"/>
    </row>
    <row r="2" spans="1:6">
      <c r="B2" t="s">
        <v>66</v>
      </c>
      <c r="C2" t="s">
        <v>67</v>
      </c>
      <c r="D2" t="s">
        <v>66</v>
      </c>
      <c r="E2" t="s">
        <v>67</v>
      </c>
    </row>
    <row r="3" spans="1:6">
      <c r="A3" t="s">
        <v>43</v>
      </c>
      <c r="B3" s="1">
        <v>0.108</v>
      </c>
      <c r="C3" s="1">
        <v>1.2E-2</v>
      </c>
      <c r="D3" s="1">
        <v>7.1999999999999995E-2</v>
      </c>
      <c r="E3" s="1">
        <v>8.0000000000000002E-3</v>
      </c>
      <c r="F3">
        <f>SUM(B3:E3)</f>
        <v>0.2</v>
      </c>
    </row>
    <row r="4" spans="1:6">
      <c r="A4" t="s">
        <v>65</v>
      </c>
      <c r="B4" s="1">
        <v>1.6E-2</v>
      </c>
      <c r="C4" s="1">
        <v>6.4000000000000001E-2</v>
      </c>
      <c r="D4" s="1">
        <v>0.14399999999999999</v>
      </c>
      <c r="E4" s="1">
        <v>0.57599999999999996</v>
      </c>
      <c r="F4">
        <f>SUM(B4:E4)</f>
        <v>0.79999999999999993</v>
      </c>
    </row>
    <row r="5" spans="1:6">
      <c r="B5">
        <f t="shared" ref="B5:C5" si="0">SUM(B3:B4)</f>
        <v>0.124</v>
      </c>
      <c r="C5">
        <f t="shared" si="0"/>
        <v>7.5999999999999998E-2</v>
      </c>
      <c r="D5">
        <f>SUM(D3:D4)</f>
        <v>0.21599999999999997</v>
      </c>
      <c r="E5">
        <f>SUM(E3:E4)</f>
        <v>0.58399999999999996</v>
      </c>
      <c r="F5">
        <f>SUM(B5:E5)</f>
        <v>1</v>
      </c>
    </row>
    <row r="7" spans="1:6">
      <c r="A7" t="s">
        <v>68</v>
      </c>
      <c r="B7" t="s">
        <v>69</v>
      </c>
      <c r="C7" t="s">
        <v>43</v>
      </c>
      <c r="D7" t="s">
        <v>72</v>
      </c>
      <c r="E7" t="s">
        <v>79</v>
      </c>
    </row>
    <row r="8" spans="1:6">
      <c r="A8" t="s">
        <v>70</v>
      </c>
      <c r="C8" t="s">
        <v>71</v>
      </c>
      <c r="D8">
        <f>D4+E4</f>
        <v>0.72</v>
      </c>
    </row>
    <row r="9" spans="1:6">
      <c r="A9" t="s">
        <v>74</v>
      </c>
      <c r="B9" t="s">
        <v>78</v>
      </c>
      <c r="C9" t="s">
        <v>74</v>
      </c>
      <c r="D9">
        <f>B3+C3</f>
        <v>0.12</v>
      </c>
      <c r="E9">
        <f>1-D9</f>
        <v>0.88</v>
      </c>
    </row>
    <row r="10" spans="1:6">
      <c r="A10" t="s">
        <v>71</v>
      </c>
      <c r="C10" t="s">
        <v>74</v>
      </c>
      <c r="D10">
        <f>D3+E3</f>
        <v>7.9999999999999988E-2</v>
      </c>
    </row>
    <row r="11" spans="1:6">
      <c r="A11" t="s">
        <v>80</v>
      </c>
      <c r="C11" t="s">
        <v>70</v>
      </c>
      <c r="D11">
        <f>B4+C4</f>
        <v>0.08</v>
      </c>
    </row>
    <row r="14" spans="1:6">
      <c r="A14" t="s">
        <v>68</v>
      </c>
      <c r="B14" t="s">
        <v>73</v>
      </c>
      <c r="C14" t="s">
        <v>43</v>
      </c>
      <c r="D14" t="s">
        <v>72</v>
      </c>
    </row>
    <row r="15" spans="1:6">
      <c r="A15" t="s">
        <v>74</v>
      </c>
      <c r="C15" t="s">
        <v>74</v>
      </c>
      <c r="D15">
        <f>F3+B4+C4</f>
        <v>0.28000000000000003</v>
      </c>
    </row>
    <row r="16" spans="1:6">
      <c r="A16" t="s">
        <v>70</v>
      </c>
      <c r="B16" t="s">
        <v>77</v>
      </c>
      <c r="C16" t="s">
        <v>70</v>
      </c>
    </row>
    <row r="18" spans="1:4">
      <c r="A18" t="s">
        <v>68</v>
      </c>
      <c r="C18" t="s">
        <v>81</v>
      </c>
    </row>
    <row r="19" spans="1:4">
      <c r="A19" t="s">
        <v>70</v>
      </c>
      <c r="B19" t="s">
        <v>74</v>
      </c>
      <c r="C19" t="s">
        <v>74</v>
      </c>
      <c r="D19" t="s">
        <v>70</v>
      </c>
    </row>
    <row r="20" spans="1:4">
      <c r="A20">
        <f>D3+E3+E4+D4</f>
        <v>0.79999999999999993</v>
      </c>
      <c r="B20">
        <f>1-A20</f>
        <v>0.20000000000000007</v>
      </c>
      <c r="C20">
        <f>F3</f>
        <v>0.2</v>
      </c>
      <c r="D20">
        <f>1-C20</f>
        <v>0.8</v>
      </c>
    </row>
    <row r="23" spans="1:4">
      <c r="A23" t="s">
        <v>68</v>
      </c>
      <c r="B23" t="s">
        <v>82</v>
      </c>
      <c r="C23" t="s">
        <v>83</v>
      </c>
      <c r="D23" t="s">
        <v>72</v>
      </c>
    </row>
    <row r="25" spans="1:4">
      <c r="A25" t="s">
        <v>74</v>
      </c>
      <c r="C25" t="s">
        <v>84</v>
      </c>
      <c r="D25">
        <f>D9/C20</f>
        <v>0.6</v>
      </c>
    </row>
    <row r="26" spans="1:4">
      <c r="A26" t="s">
        <v>88</v>
      </c>
      <c r="C26" t="s">
        <v>70</v>
      </c>
      <c r="D26">
        <f>D11/D20</f>
        <v>9.9999999999999992E-2</v>
      </c>
    </row>
    <row r="28" spans="1:4">
      <c r="A28" t="s">
        <v>43</v>
      </c>
      <c r="B28" t="s">
        <v>85</v>
      </c>
      <c r="C28" t="s">
        <v>86</v>
      </c>
    </row>
    <row r="29" spans="1:4">
      <c r="A29" t="s">
        <v>74</v>
      </c>
      <c r="C29" t="s">
        <v>87</v>
      </c>
      <c r="D29">
        <f>D9/B20</f>
        <v>0.59999999999999976</v>
      </c>
    </row>
  </sheetData>
  <mergeCells count="2">
    <mergeCell ref="D1:E1"/>
    <mergeCell ref="B1:C1"/>
  </mergeCells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opLeftCell="F2" workbookViewId="0">
      <selection activeCell="C23" sqref="C23"/>
    </sheetView>
  </sheetViews>
  <sheetFormatPr baseColWidth="10" defaultColWidth="11" defaultRowHeight="13" x14ac:dyDescent="0"/>
  <cols>
    <col min="1" max="1" width="16.7109375" customWidth="1"/>
    <col min="2" max="2" width="20.140625" customWidth="1"/>
    <col min="3" max="3" width="22.7109375" customWidth="1"/>
  </cols>
  <sheetData>
    <row r="1" spans="1:5">
      <c r="B1" s="3" t="s">
        <v>89</v>
      </c>
      <c r="C1" t="s">
        <v>119</v>
      </c>
      <c r="D1" s="3" t="s">
        <v>91</v>
      </c>
    </row>
    <row r="2" spans="1:5">
      <c r="B2" s="2">
        <f>1</f>
        <v>1</v>
      </c>
      <c r="C2" s="2">
        <v>0.1</v>
      </c>
      <c r="D2">
        <f>C2*B2</f>
        <v>0.1</v>
      </c>
    </row>
    <row r="3" spans="1:5">
      <c r="B3" s="2">
        <v>0.75</v>
      </c>
      <c r="C3" s="2">
        <v>0.2</v>
      </c>
      <c r="D3">
        <f t="shared" ref="D3:D6" si="0">C3*B3</f>
        <v>0.15000000000000002</v>
      </c>
    </row>
    <row r="4" spans="1:5">
      <c r="B4" s="2">
        <v>0.5</v>
      </c>
      <c r="C4" s="2">
        <v>0.4</v>
      </c>
      <c r="D4">
        <f t="shared" si="0"/>
        <v>0.2</v>
      </c>
    </row>
    <row r="5" spans="1:5">
      <c r="B5" s="2">
        <v>0.25</v>
      </c>
      <c r="C5" s="2">
        <v>0.2</v>
      </c>
      <c r="D5">
        <f t="shared" si="0"/>
        <v>0.05</v>
      </c>
    </row>
    <row r="6" spans="1:5">
      <c r="B6" s="2">
        <v>0</v>
      </c>
      <c r="C6" s="2">
        <v>0.1</v>
      </c>
      <c r="D6">
        <f t="shared" si="0"/>
        <v>0</v>
      </c>
    </row>
    <row r="7" spans="1:5">
      <c r="A7" s="3" t="s">
        <v>92</v>
      </c>
      <c r="B7" s="3"/>
      <c r="C7" s="3">
        <f>SUM(C2:C6)</f>
        <v>1.0000000000000002</v>
      </c>
      <c r="D7" s="4">
        <f>SUM(D2:D6)</f>
        <v>0.5</v>
      </c>
      <c r="E7" s="3" t="s">
        <v>93</v>
      </c>
    </row>
    <row r="9" spans="1:5">
      <c r="B9" s="3" t="s">
        <v>89</v>
      </c>
    </row>
    <row r="10" spans="1:5">
      <c r="B10" s="3" t="s">
        <v>94</v>
      </c>
      <c r="C10" s="3" t="s">
        <v>90</v>
      </c>
      <c r="D10" s="3" t="s">
        <v>91</v>
      </c>
    </row>
    <row r="11" spans="1:5">
      <c r="B11" s="2">
        <f>(B2-$D$7)^2</f>
        <v>0.25</v>
      </c>
      <c r="C11" s="2">
        <v>0.1</v>
      </c>
      <c r="D11">
        <f>C11*B11</f>
        <v>2.5000000000000001E-2</v>
      </c>
    </row>
    <row r="12" spans="1:5">
      <c r="B12" s="2">
        <f t="shared" ref="B12:B15" si="1">(B3-$D$7)^2</f>
        <v>6.25E-2</v>
      </c>
      <c r="C12" s="2">
        <v>0.2</v>
      </c>
      <c r="D12">
        <f t="shared" ref="D12:D15" si="2">C12*B12</f>
        <v>1.2500000000000001E-2</v>
      </c>
    </row>
    <row r="13" spans="1:5">
      <c r="B13" s="2">
        <f t="shared" si="1"/>
        <v>0</v>
      </c>
      <c r="C13" s="2">
        <v>0.4</v>
      </c>
      <c r="D13">
        <f t="shared" si="2"/>
        <v>0</v>
      </c>
    </row>
    <row r="14" spans="1:5">
      <c r="B14" s="2">
        <f t="shared" si="1"/>
        <v>6.25E-2</v>
      </c>
      <c r="C14" s="2">
        <v>0.2</v>
      </c>
      <c r="D14">
        <f t="shared" si="2"/>
        <v>1.2500000000000001E-2</v>
      </c>
    </row>
    <row r="15" spans="1:5">
      <c r="B15" s="2">
        <f t="shared" si="1"/>
        <v>0.25</v>
      </c>
      <c r="C15" s="2">
        <v>0.1</v>
      </c>
      <c r="D15">
        <f t="shared" si="2"/>
        <v>2.5000000000000001E-2</v>
      </c>
    </row>
    <row r="16" spans="1:5">
      <c r="A16" s="3" t="s">
        <v>92</v>
      </c>
      <c r="B16" s="3"/>
      <c r="C16" s="3">
        <f>SUM(C11:C15)</f>
        <v>1.0000000000000002</v>
      </c>
      <c r="D16" s="4">
        <f>SUM(D11:D15)</f>
        <v>7.5000000000000011E-2</v>
      </c>
      <c r="E16" s="3" t="s">
        <v>95</v>
      </c>
    </row>
    <row r="18" spans="1:3">
      <c r="A18" t="s">
        <v>120</v>
      </c>
    </row>
    <row r="22" spans="1:3">
      <c r="A22" s="3" t="s">
        <v>89</v>
      </c>
      <c r="B22" t="s">
        <v>121</v>
      </c>
      <c r="C22" t="s">
        <v>124</v>
      </c>
    </row>
    <row r="23" spans="1:3">
      <c r="A23" s="7">
        <f>1</f>
        <v>1</v>
      </c>
      <c r="B23">
        <f>B2*C2</f>
        <v>0.1</v>
      </c>
      <c r="C23">
        <f>B23/$B$28</f>
        <v>0.2</v>
      </c>
    </row>
    <row r="24" spans="1:3">
      <c r="A24" s="7">
        <v>0.75</v>
      </c>
      <c r="B24">
        <f t="shared" ref="B24:B27" si="3">B3*C3</f>
        <v>0.15000000000000002</v>
      </c>
      <c r="C24">
        <f t="shared" ref="C24:C27" si="4">B24/$B$28</f>
        <v>0.30000000000000004</v>
      </c>
    </row>
    <row r="25" spans="1:3">
      <c r="A25" s="7">
        <v>0.5</v>
      </c>
      <c r="B25">
        <f t="shared" si="3"/>
        <v>0.2</v>
      </c>
      <c r="C25">
        <f t="shared" si="4"/>
        <v>0.4</v>
      </c>
    </row>
    <row r="26" spans="1:3">
      <c r="A26" s="7">
        <v>0.25</v>
      </c>
      <c r="B26">
        <f t="shared" si="3"/>
        <v>0.05</v>
      </c>
      <c r="C26">
        <f t="shared" si="4"/>
        <v>0.1</v>
      </c>
    </row>
    <row r="27" spans="1:3">
      <c r="A27" s="7">
        <v>0</v>
      </c>
      <c r="B27">
        <f t="shared" si="3"/>
        <v>0</v>
      </c>
      <c r="C27">
        <f t="shared" si="4"/>
        <v>0</v>
      </c>
    </row>
    <row r="28" spans="1:3">
      <c r="A28" t="s">
        <v>122</v>
      </c>
      <c r="B28">
        <f>SUM(B23:B27)</f>
        <v>0.5</v>
      </c>
      <c r="C28">
        <f>SUM(C23:C27)</f>
        <v>1</v>
      </c>
    </row>
    <row r="29" spans="1:3">
      <c r="A29" t="s">
        <v>123</v>
      </c>
    </row>
  </sheetData>
  <phoneticPr fontId="2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9"/>
  <sheetViews>
    <sheetView workbookViewId="0">
      <selection activeCell="F8" sqref="F8"/>
    </sheetView>
  </sheetViews>
  <sheetFormatPr baseColWidth="10" defaultColWidth="11" defaultRowHeight="13" x14ac:dyDescent="0"/>
  <cols>
    <col min="1" max="1" width="14.7109375" customWidth="1"/>
    <col min="9" max="9" width="14" customWidth="1"/>
    <col min="10" max="10" width="13.85546875" customWidth="1"/>
  </cols>
  <sheetData>
    <row r="3" spans="1:13">
      <c r="A3" t="s">
        <v>96</v>
      </c>
      <c r="H3" t="s">
        <v>139</v>
      </c>
    </row>
    <row r="4" spans="1:13">
      <c r="A4" t="s">
        <v>137</v>
      </c>
      <c r="F4" t="s">
        <v>91</v>
      </c>
    </row>
    <row r="5" spans="1:13">
      <c r="A5" t="s">
        <v>97</v>
      </c>
      <c r="B5" t="s">
        <v>98</v>
      </c>
      <c r="C5" t="s">
        <v>99</v>
      </c>
      <c r="D5" t="s">
        <v>100</v>
      </c>
      <c r="E5" t="s">
        <v>104</v>
      </c>
      <c r="H5" t="s">
        <v>97</v>
      </c>
      <c r="I5" t="s">
        <v>98</v>
      </c>
      <c r="J5" t="s">
        <v>99</v>
      </c>
      <c r="K5" t="s">
        <v>100</v>
      </c>
      <c r="L5" t="s">
        <v>104</v>
      </c>
      <c r="M5" t="s">
        <v>91</v>
      </c>
    </row>
    <row r="6" spans="1:13">
      <c r="A6" t="s">
        <v>114</v>
      </c>
      <c r="B6" t="s">
        <v>115</v>
      </c>
      <c r="C6" t="s">
        <v>115</v>
      </c>
      <c r="D6" t="s">
        <v>115</v>
      </c>
      <c r="E6" t="s">
        <v>116</v>
      </c>
      <c r="H6" t="s">
        <v>101</v>
      </c>
      <c r="I6" t="s">
        <v>106</v>
      </c>
      <c r="J6" t="s">
        <v>107</v>
      </c>
      <c r="K6" t="s">
        <v>108</v>
      </c>
      <c r="L6" t="s">
        <v>109</v>
      </c>
    </row>
    <row r="7" spans="1:13">
      <c r="A7" t="s">
        <v>102</v>
      </c>
      <c r="B7" t="s">
        <v>103</v>
      </c>
      <c r="C7" t="s">
        <v>103</v>
      </c>
      <c r="D7" t="s">
        <v>103</v>
      </c>
      <c r="E7" t="s">
        <v>105</v>
      </c>
      <c r="H7" s="5">
        <f>9/14</f>
        <v>0.6428571428571429</v>
      </c>
      <c r="I7" s="5">
        <f>2/9</f>
        <v>0.22222222222222221</v>
      </c>
      <c r="J7" s="5">
        <v>0.33333333333333331</v>
      </c>
      <c r="K7" s="5">
        <v>0.33333333333333331</v>
      </c>
      <c r="L7" s="5">
        <v>0.33333333333333331</v>
      </c>
      <c r="M7" s="6">
        <f>PRODUCT(H7:L7)</f>
        <v>5.2910052910052907E-3</v>
      </c>
    </row>
    <row r="8" spans="1:13">
      <c r="A8" s="8">
        <f>H7/H12</f>
        <v>1.8</v>
      </c>
      <c r="B8" s="8">
        <f t="shared" ref="B8:E8" si="0">I7/I12</f>
        <v>0.37037037037037035</v>
      </c>
      <c r="C8" s="8">
        <f t="shared" si="0"/>
        <v>1.6666666666666665</v>
      </c>
      <c r="D8" s="8">
        <f t="shared" si="0"/>
        <v>0.55555555555555558</v>
      </c>
      <c r="E8" s="8">
        <f t="shared" si="0"/>
        <v>0.41666666666666663</v>
      </c>
      <c r="F8" s="8">
        <f>PRODUCT(A8:E8)</f>
        <v>0.25720164609053492</v>
      </c>
    </row>
    <row r="10" spans="1:13">
      <c r="H10" t="s">
        <v>97</v>
      </c>
      <c r="I10" t="s">
        <v>98</v>
      </c>
      <c r="J10" t="s">
        <v>99</v>
      </c>
      <c r="K10" t="s">
        <v>100</v>
      </c>
      <c r="L10" t="s">
        <v>104</v>
      </c>
      <c r="M10" t="s">
        <v>91</v>
      </c>
    </row>
    <row r="11" spans="1:13">
      <c r="A11" s="9" t="s">
        <v>117</v>
      </c>
      <c r="H11" t="s">
        <v>102</v>
      </c>
      <c r="I11" t="s">
        <v>110</v>
      </c>
      <c r="J11" t="s">
        <v>111</v>
      </c>
      <c r="K11" t="s">
        <v>112</v>
      </c>
      <c r="L11" t="s">
        <v>113</v>
      </c>
    </row>
    <row r="12" spans="1:13">
      <c r="H12" s="5">
        <f>5/14</f>
        <v>0.35714285714285715</v>
      </c>
      <c r="I12" s="5">
        <v>0.6</v>
      </c>
      <c r="J12" s="5">
        <v>0.2</v>
      </c>
      <c r="K12" s="5">
        <v>0.6</v>
      </c>
      <c r="L12" s="5">
        <v>0.8</v>
      </c>
      <c r="M12" s="6">
        <f>PRODUCT(H12:L12)</f>
        <v>2.0571428571428574E-2</v>
      </c>
    </row>
    <row r="14" spans="1:13">
      <c r="A14" t="s">
        <v>96</v>
      </c>
    </row>
    <row r="15" spans="1:13">
      <c r="A15" t="s">
        <v>138</v>
      </c>
      <c r="F15" s="9" t="s">
        <v>118</v>
      </c>
    </row>
    <row r="16" spans="1:13">
      <c r="A16" t="s">
        <v>97</v>
      </c>
      <c r="B16" t="s">
        <v>98</v>
      </c>
      <c r="C16" t="s">
        <v>99</v>
      </c>
      <c r="D16" t="s">
        <v>100</v>
      </c>
      <c r="E16" t="s">
        <v>104</v>
      </c>
    </row>
    <row r="17" spans="1:6">
      <c r="A17" t="s">
        <v>114</v>
      </c>
      <c r="B17" t="s">
        <v>115</v>
      </c>
      <c r="C17" t="s">
        <v>115</v>
      </c>
      <c r="D17" t="s">
        <v>115</v>
      </c>
      <c r="E17" t="s">
        <v>116</v>
      </c>
    </row>
    <row r="18" spans="1:6">
      <c r="A18" t="s">
        <v>102</v>
      </c>
      <c r="B18" t="s">
        <v>103</v>
      </c>
      <c r="C18" t="s">
        <v>103</v>
      </c>
      <c r="D18" t="s">
        <v>103</v>
      </c>
      <c r="E18" t="s">
        <v>105</v>
      </c>
    </row>
    <row r="19" spans="1:6">
      <c r="A19" s="8">
        <f>LN(A8)</f>
        <v>0.58778666490211906</v>
      </c>
      <c r="B19" s="8">
        <f>LN(B8)</f>
        <v>-0.99325177301028345</v>
      </c>
      <c r="C19" s="8">
        <f>LN(C8)</f>
        <v>0.51082562376599061</v>
      </c>
      <c r="D19" s="8">
        <f>LN(D8)</f>
        <v>-0.58778666490211895</v>
      </c>
      <c r="E19" s="8">
        <f>LN(E8)</f>
        <v>-0.87546873735390007</v>
      </c>
      <c r="F19" s="8">
        <f>SUM(A19:E19)</f>
        <v>-1.3578948865981928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Y75"/>
  <sheetViews>
    <sheetView workbookViewId="0">
      <selection activeCell="J19" sqref="J19"/>
    </sheetView>
  </sheetViews>
  <sheetFormatPr baseColWidth="10" defaultColWidth="11" defaultRowHeight="13" x14ac:dyDescent="0"/>
  <cols>
    <col min="5" max="6" width="12.140625" customWidth="1"/>
  </cols>
  <sheetData>
    <row r="4" spans="2:25">
      <c r="C4" t="s">
        <v>125</v>
      </c>
    </row>
    <row r="5" spans="2:25">
      <c r="M5" t="s">
        <v>135</v>
      </c>
    </row>
    <row r="7" spans="2:25">
      <c r="M7" t="s">
        <v>136</v>
      </c>
      <c r="Y7" t="s">
        <v>0</v>
      </c>
    </row>
    <row r="8" spans="2:25">
      <c r="B8" t="s">
        <v>130</v>
      </c>
      <c r="C8" t="s">
        <v>126</v>
      </c>
      <c r="D8" t="s">
        <v>127</v>
      </c>
      <c r="E8" t="s">
        <v>128</v>
      </c>
      <c r="G8" s="1" t="s">
        <v>129</v>
      </c>
      <c r="M8" t="s">
        <v>1</v>
      </c>
      <c r="N8">
        <v>1</v>
      </c>
    </row>
    <row r="9" spans="2:25">
      <c r="B9">
        <v>301118281</v>
      </c>
      <c r="C9" s="12">
        <v>0.96089999999999998</v>
      </c>
      <c r="D9" s="12">
        <v>0.64290000000000003</v>
      </c>
      <c r="E9" s="12">
        <v>0.89900000000000002</v>
      </c>
      <c r="F9" s="12">
        <f>0.6</f>
        <v>0.6</v>
      </c>
      <c r="G9" s="12">
        <f>0.6*C9+0.15*D9+0.25*E9</f>
        <v>0.897725</v>
      </c>
      <c r="M9" t="s">
        <v>2</v>
      </c>
      <c r="N9">
        <v>1</v>
      </c>
    </row>
    <row r="10" spans="2:25">
      <c r="B10">
        <v>301115155</v>
      </c>
      <c r="C10" s="12">
        <v>0.93400000000000005</v>
      </c>
      <c r="D10" s="12">
        <v>0.58330000000000004</v>
      </c>
      <c r="E10" s="12">
        <v>0.83399999999999996</v>
      </c>
      <c r="F10" s="12">
        <f>0.15</f>
        <v>0.15</v>
      </c>
      <c r="G10" s="12">
        <f t="shared" ref="G10:G35" si="0">0.6*C10+0.15*D10+0.25*E10</f>
        <v>0.85639500000000002</v>
      </c>
      <c r="M10" t="s">
        <v>3</v>
      </c>
      <c r="N10">
        <v>1</v>
      </c>
    </row>
    <row r="11" spans="2:25">
      <c r="B11">
        <v>200123673</v>
      </c>
      <c r="C11" s="12">
        <v>0.90200000000000002</v>
      </c>
      <c r="D11" s="12">
        <v>0.66669999999999996</v>
      </c>
      <c r="E11" s="12">
        <v>0.86499999999999999</v>
      </c>
      <c r="F11" s="12">
        <f>0.25</f>
        <v>0.25</v>
      </c>
      <c r="G11" s="12">
        <f t="shared" si="0"/>
        <v>0.85745500000000008</v>
      </c>
      <c r="M11" t="s">
        <v>4</v>
      </c>
      <c r="N11">
        <v>6.0104705752520228E-15</v>
      </c>
    </row>
    <row r="12" spans="2:25">
      <c r="B12">
        <v>301156703</v>
      </c>
      <c r="C12" s="12">
        <v>0.95040000000000002</v>
      </c>
      <c r="D12" s="12">
        <v>0.91669999999999996</v>
      </c>
      <c r="E12" s="12">
        <v>0.96099999999999997</v>
      </c>
      <c r="F12" s="12"/>
      <c r="G12" s="12">
        <f t="shared" si="0"/>
        <v>0.94799499999999992</v>
      </c>
      <c r="M12" t="s">
        <v>5</v>
      </c>
      <c r="N12">
        <v>27</v>
      </c>
    </row>
    <row r="13" spans="2:25">
      <c r="B13">
        <v>301090516</v>
      </c>
      <c r="C13" s="12">
        <v>0.90669999999999995</v>
      </c>
      <c r="D13" s="12">
        <v>0.8095</v>
      </c>
      <c r="E13" s="12">
        <v>0.94399999999999995</v>
      </c>
      <c r="F13" s="12"/>
      <c r="G13" s="12">
        <f t="shared" si="0"/>
        <v>0.90144499999999994</v>
      </c>
      <c r="M13" t="s">
        <v>6</v>
      </c>
    </row>
    <row r="14" spans="2:25">
      <c r="B14">
        <v>301138026</v>
      </c>
      <c r="C14" s="12">
        <v>0.95499999999999996</v>
      </c>
      <c r="D14" s="12">
        <v>0.88100000000000001</v>
      </c>
      <c r="E14" s="12">
        <v>0.92600000000000005</v>
      </c>
      <c r="F14" s="12"/>
      <c r="G14" s="12">
        <f t="shared" si="0"/>
        <v>0.93664999999999998</v>
      </c>
    </row>
    <row r="15" spans="2:25">
      <c r="B15">
        <v>301026308</v>
      </c>
      <c r="C15" s="12">
        <v>0.89549999999999996</v>
      </c>
      <c r="D15" s="12">
        <v>0.78569999999999995</v>
      </c>
      <c r="E15" s="12">
        <v>0.82399999999999995</v>
      </c>
      <c r="F15" s="12"/>
      <c r="G15" s="12">
        <f t="shared" si="0"/>
        <v>0.86115499999999989</v>
      </c>
      <c r="M15" t="s">
        <v>7</v>
      </c>
    </row>
    <row r="16" spans="2:25">
      <c r="B16">
        <v>301142295</v>
      </c>
      <c r="C16" s="12">
        <v>0.89480000000000004</v>
      </c>
      <c r="D16" s="12">
        <v>0.91669999999999996</v>
      </c>
      <c r="E16" s="12">
        <v>0.84499999999999997</v>
      </c>
      <c r="F16" s="12"/>
      <c r="G16" s="12">
        <f t="shared" si="0"/>
        <v>0.88563499999999995</v>
      </c>
      <c r="M16" t="s">
        <v>8</v>
      </c>
      <c r="N16" t="s">
        <v>9</v>
      </c>
      <c r="O16" t="s">
        <v>10</v>
      </c>
      <c r="P16" t="s">
        <v>11</v>
      </c>
      <c r="Q16" t="s">
        <v>55</v>
      </c>
      <c r="R16" t="s">
        <v>12</v>
      </c>
    </row>
    <row r="17" spans="2:20">
      <c r="B17">
        <v>301055616</v>
      </c>
      <c r="C17" s="12">
        <v>0.60589999999999999</v>
      </c>
      <c r="D17" s="12">
        <v>0.90480000000000005</v>
      </c>
      <c r="E17" s="12">
        <v>0.90600000000000003</v>
      </c>
      <c r="F17" s="12"/>
      <c r="G17" s="12">
        <f t="shared" si="0"/>
        <v>0.72575999999999996</v>
      </c>
      <c r="M17" t="s">
        <v>13</v>
      </c>
      <c r="N17">
        <v>3</v>
      </c>
      <c r="O17">
        <v>0.10432991791666162</v>
      </c>
      <c r="P17">
        <v>3.4776639305553872E-2</v>
      </c>
      <c r="Q17">
        <v>0</v>
      </c>
      <c r="R17" t="s">
        <v>14</v>
      </c>
    </row>
    <row r="18" spans="2:20">
      <c r="B18">
        <v>301003978</v>
      </c>
      <c r="C18" s="12">
        <v>0.93520000000000003</v>
      </c>
      <c r="D18" s="12">
        <v>0.75</v>
      </c>
      <c r="E18" s="12">
        <v>0.92</v>
      </c>
      <c r="F18" s="12"/>
      <c r="G18" s="12">
        <f t="shared" si="0"/>
        <v>0.90361999999999987</v>
      </c>
      <c r="M18" t="s">
        <v>15</v>
      </c>
      <c r="N18">
        <v>23</v>
      </c>
      <c r="O18">
        <v>8.3089240032731884E-28</v>
      </c>
      <c r="P18">
        <v>3.6125756535970387E-29</v>
      </c>
    </row>
    <row r="19" spans="2:20">
      <c r="B19">
        <v>301138722</v>
      </c>
      <c r="C19" s="12">
        <v>0.97050000000000003</v>
      </c>
      <c r="D19" s="12">
        <v>0.78569999999999995</v>
      </c>
      <c r="E19" s="12">
        <v>0.88400000000000001</v>
      </c>
      <c r="F19" s="12"/>
      <c r="G19" s="12">
        <f t="shared" si="0"/>
        <v>0.92115500000000006</v>
      </c>
      <c r="M19" t="s">
        <v>16</v>
      </c>
      <c r="N19">
        <v>26</v>
      </c>
      <c r="O19">
        <v>0.10432991791666162</v>
      </c>
    </row>
    <row r="20" spans="2:20">
      <c r="B20">
        <v>301134012</v>
      </c>
      <c r="C20" s="12">
        <v>0.84660000000000002</v>
      </c>
      <c r="D20" s="12">
        <v>0.8095</v>
      </c>
      <c r="E20" s="12">
        <v>0.83899999999999997</v>
      </c>
      <c r="F20" s="12"/>
      <c r="G20" s="12">
        <f t="shared" si="0"/>
        <v>0.83913499999999996</v>
      </c>
    </row>
    <row r="21" spans="2:20">
      <c r="B21">
        <v>301157266</v>
      </c>
      <c r="C21" s="12">
        <v>0.96989999999999998</v>
      </c>
      <c r="D21" s="12">
        <v>0.66669999999999996</v>
      </c>
      <c r="E21" s="12">
        <v>0.85499999999999998</v>
      </c>
      <c r="F21" s="12"/>
      <c r="G21" s="12">
        <f t="shared" si="0"/>
        <v>0.89569500000000002</v>
      </c>
      <c r="M21" t="s">
        <v>8</v>
      </c>
      <c r="N21" t="s">
        <v>17</v>
      </c>
      <c r="O21" t="s">
        <v>4</v>
      </c>
      <c r="P21" t="s">
        <v>18</v>
      </c>
      <c r="Q21" t="s">
        <v>19</v>
      </c>
      <c r="R21" t="s">
        <v>20</v>
      </c>
      <c r="S21" t="s">
        <v>12</v>
      </c>
      <c r="T21" t="s">
        <v>21</v>
      </c>
    </row>
    <row r="22" spans="2:20">
      <c r="B22">
        <v>301145064</v>
      </c>
      <c r="C22" s="12">
        <v>0.97850000000000004</v>
      </c>
      <c r="D22" s="12">
        <v>0.6905</v>
      </c>
      <c r="E22" s="12">
        <v>0.89400000000000002</v>
      </c>
      <c r="F22" s="12"/>
      <c r="G22" s="12">
        <f t="shared" si="0"/>
        <v>0.91417499999999996</v>
      </c>
      <c r="M22" t="s">
        <v>22</v>
      </c>
      <c r="N22">
        <v>1.2144008942980428E-13</v>
      </c>
      <c r="O22">
        <v>2.5434029341444186E-14</v>
      </c>
      <c r="P22">
        <v>5.7858405427796463E-14</v>
      </c>
      <c r="Q22">
        <v>1.8502177343181209E-13</v>
      </c>
      <c r="R22">
        <v>4.7747090246499146</v>
      </c>
      <c r="S22">
        <v>8.1629474881994568E-5</v>
      </c>
      <c r="T22" t="s">
        <v>23</v>
      </c>
    </row>
    <row r="23" spans="2:20">
      <c r="B23">
        <v>301144688</v>
      </c>
      <c r="C23" s="12">
        <v>0.97509999999999997</v>
      </c>
      <c r="D23" s="12">
        <v>0.89290000000000003</v>
      </c>
      <c r="E23" s="12">
        <v>0.86499999999999999</v>
      </c>
      <c r="F23" s="12"/>
      <c r="G23" s="12">
        <f t="shared" si="0"/>
        <v>0.93524499999999988</v>
      </c>
      <c r="M23" t="s">
        <v>126</v>
      </c>
      <c r="N23">
        <v>0.59999999999997977</v>
      </c>
      <c r="O23">
        <v>1.2477642960788505E-14</v>
      </c>
      <c r="P23">
        <v>0.59999999999994857</v>
      </c>
      <c r="Q23">
        <v>0.60000000000001097</v>
      </c>
      <c r="R23">
        <v>48086004855685</v>
      </c>
      <c r="S23">
        <v>0</v>
      </c>
      <c r="T23" t="s">
        <v>23</v>
      </c>
    </row>
    <row r="24" spans="2:20">
      <c r="B24">
        <v>301121715</v>
      </c>
      <c r="C24" s="12">
        <v>0.91390000000000005</v>
      </c>
      <c r="D24" s="12">
        <v>0.8095</v>
      </c>
      <c r="E24" s="12">
        <v>0.84199999999999997</v>
      </c>
      <c r="F24" s="12"/>
      <c r="G24" s="12">
        <f t="shared" si="0"/>
        <v>0.88026500000000008</v>
      </c>
      <c r="M24" t="s">
        <v>127</v>
      </c>
      <c r="N24">
        <v>0.15000000000001223</v>
      </c>
      <c r="O24">
        <v>1.0818138811378453E-14</v>
      </c>
      <c r="P24">
        <v>0.1499999999999852</v>
      </c>
      <c r="Q24">
        <v>0.15000000000003927</v>
      </c>
      <c r="R24">
        <v>13865601340060.746</v>
      </c>
      <c r="S24">
        <v>0</v>
      </c>
      <c r="T24" t="s">
        <v>23</v>
      </c>
    </row>
    <row r="25" spans="2:20">
      <c r="B25">
        <v>301091596</v>
      </c>
      <c r="C25" s="12">
        <v>0.62929999999999997</v>
      </c>
      <c r="D25" s="12">
        <v>0.6905</v>
      </c>
      <c r="E25" s="12">
        <v>0.85399999999999998</v>
      </c>
      <c r="F25" s="12"/>
      <c r="G25" s="12">
        <f t="shared" si="0"/>
        <v>0.69465500000000002</v>
      </c>
      <c r="M25" t="s">
        <v>128</v>
      </c>
      <c r="N25">
        <v>0.24999999999987235</v>
      </c>
      <c r="O25">
        <v>3.0480647366089296E-14</v>
      </c>
      <c r="P25">
        <v>0.24999999999979616</v>
      </c>
      <c r="Q25">
        <v>0.24999999999994854</v>
      </c>
      <c r="R25">
        <v>8201925536463.6846</v>
      </c>
      <c r="S25">
        <v>0</v>
      </c>
      <c r="T25" t="s">
        <v>23</v>
      </c>
    </row>
    <row r="26" spans="2:20">
      <c r="B26">
        <v>301143705</v>
      </c>
      <c r="C26" s="12">
        <v>0.93300000000000005</v>
      </c>
      <c r="D26" s="12">
        <v>0.73809999999999998</v>
      </c>
      <c r="E26" s="12">
        <v>0.82399999999999995</v>
      </c>
      <c r="F26" s="12"/>
      <c r="G26" s="12">
        <f t="shared" si="0"/>
        <v>0.87651499999999993</v>
      </c>
      <c r="M26" t="s">
        <v>24</v>
      </c>
      <c r="N26">
        <v>2.499866739494669</v>
      </c>
    </row>
    <row r="27" spans="2:20">
      <c r="B27">
        <v>200107086</v>
      </c>
      <c r="C27" s="12">
        <v>0.92979999999999996</v>
      </c>
      <c r="D27" s="12">
        <v>0.72619999999999996</v>
      </c>
      <c r="E27" s="12">
        <v>0.84399999999999997</v>
      </c>
      <c r="F27" s="12"/>
      <c r="G27" s="12">
        <f t="shared" si="0"/>
        <v>0.87780999999999987</v>
      </c>
      <c r="M27" t="s">
        <v>25</v>
      </c>
    </row>
    <row r="28" spans="2:20">
      <c r="B28">
        <v>200052075</v>
      </c>
      <c r="C28" s="12">
        <v>0.75339999999999996</v>
      </c>
      <c r="D28" s="12">
        <v>0.63100000000000001</v>
      </c>
      <c r="E28" s="12">
        <v>0.86599999999999999</v>
      </c>
      <c r="F28" s="12"/>
      <c r="G28" s="12">
        <f t="shared" si="0"/>
        <v>0.76318999999999992</v>
      </c>
      <c r="M28" t="s">
        <v>26</v>
      </c>
    </row>
    <row r="29" spans="2:20">
      <c r="B29">
        <v>301113082</v>
      </c>
      <c r="C29" s="12">
        <v>0.96179999999999999</v>
      </c>
      <c r="D29" s="12">
        <v>1</v>
      </c>
      <c r="E29" s="12">
        <v>0.93200000000000005</v>
      </c>
      <c r="F29" s="12"/>
      <c r="G29" s="12">
        <f t="shared" si="0"/>
        <v>0.96007999999999993</v>
      </c>
    </row>
    <row r="30" spans="2:20">
      <c r="B30">
        <v>301156938</v>
      </c>
      <c r="C30" s="12">
        <v>0.93840000000000001</v>
      </c>
      <c r="D30" s="12">
        <v>0.64290000000000003</v>
      </c>
      <c r="E30" s="12">
        <v>0.83899999999999997</v>
      </c>
      <c r="F30" s="12"/>
      <c r="G30" s="12">
        <f t="shared" si="0"/>
        <v>0.86922500000000003</v>
      </c>
      <c r="M30" t="s">
        <v>27</v>
      </c>
    </row>
    <row r="31" spans="2:20">
      <c r="B31">
        <v>301148191</v>
      </c>
      <c r="C31" s="12">
        <v>0.94530000000000003</v>
      </c>
      <c r="D31" s="12">
        <v>0.6905</v>
      </c>
      <c r="E31" s="12">
        <v>0.82299999999999995</v>
      </c>
      <c r="F31" s="12"/>
      <c r="G31" s="12">
        <f t="shared" si="0"/>
        <v>0.87650499999999998</v>
      </c>
      <c r="M31" t="s">
        <v>28</v>
      </c>
      <c r="N31" t="s">
        <v>29</v>
      </c>
      <c r="O31" t="s">
        <v>15</v>
      </c>
      <c r="P31" t="s">
        <v>30</v>
      </c>
    </row>
    <row r="32" spans="2:20">
      <c r="B32">
        <v>301032782</v>
      </c>
      <c r="C32" s="12">
        <v>0.96140000000000003</v>
      </c>
      <c r="D32" s="12">
        <v>0.5595</v>
      </c>
      <c r="E32" s="12">
        <v>0.91400000000000003</v>
      </c>
      <c r="F32" s="12"/>
      <c r="G32" s="12">
        <f t="shared" si="0"/>
        <v>0.88926500000000008</v>
      </c>
      <c r="M32">
        <v>1</v>
      </c>
      <c r="N32">
        <v>0.897724999999995</v>
      </c>
      <c r="O32">
        <v>4.9960036108132044E-15</v>
      </c>
      <c r="P32">
        <v>0.92832674337347132</v>
      </c>
    </row>
    <row r="33" spans="2:16">
      <c r="B33">
        <v>301024121</v>
      </c>
      <c r="C33" s="12">
        <v>0.95609999999999995</v>
      </c>
      <c r="D33" s="12">
        <v>0.88100000000000001</v>
      </c>
      <c r="E33" s="12">
        <v>0.874</v>
      </c>
      <c r="F33" s="12"/>
      <c r="G33" s="12">
        <f t="shared" si="0"/>
        <v>0.92430999999999996</v>
      </c>
      <c r="M33">
        <v>2</v>
      </c>
      <c r="N33">
        <v>0.85639500000000324</v>
      </c>
      <c r="O33">
        <v>-3.219646771412954E-15</v>
      </c>
      <c r="P33">
        <v>-0.52641587094825082</v>
      </c>
    </row>
    <row r="34" spans="2:16">
      <c r="B34">
        <v>301120814</v>
      </c>
      <c r="C34" s="12">
        <v>0.88370000000000004</v>
      </c>
      <c r="D34" s="12">
        <v>0.95240000000000002</v>
      </c>
      <c r="E34" s="12">
        <v>0.93200000000000005</v>
      </c>
      <c r="F34" s="12"/>
      <c r="G34" s="12">
        <f t="shared" si="0"/>
        <v>0.90608</v>
      </c>
      <c r="M34">
        <v>3</v>
      </c>
      <c r="N34">
        <v>0.85745500000000086</v>
      </c>
      <c r="O34">
        <v>-8.8817841970012523E-16</v>
      </c>
      <c r="P34">
        <v>-0.11358350742451885</v>
      </c>
    </row>
    <row r="35" spans="2:16">
      <c r="B35">
        <v>301157288</v>
      </c>
      <c r="C35" s="12">
        <v>0.94130000000000003</v>
      </c>
      <c r="D35" s="12">
        <v>0.95240000000000002</v>
      </c>
      <c r="E35" s="12">
        <v>0.96699999999999997</v>
      </c>
      <c r="F35" s="12"/>
      <c r="G35" s="12">
        <f t="shared" si="0"/>
        <v>0.94938999999999996</v>
      </c>
      <c r="M35">
        <v>4</v>
      </c>
      <c r="N35">
        <v>0.94799499999999071</v>
      </c>
      <c r="O35">
        <v>9.3258734068513149E-15</v>
      </c>
      <c r="P35">
        <v>1.6950154184889736</v>
      </c>
    </row>
    <row r="36" spans="2:16">
      <c r="M36">
        <v>5</v>
      </c>
      <c r="N36">
        <v>0.9014449999999925</v>
      </c>
      <c r="O36">
        <v>7.5495165674510645E-15</v>
      </c>
      <c r="P36">
        <v>1.3804764748518445</v>
      </c>
    </row>
    <row r="37" spans="2:16">
      <c r="M37">
        <v>6</v>
      </c>
      <c r="N37">
        <v>0.93664999999999465</v>
      </c>
      <c r="O37">
        <v>5.3290705182007514E-15</v>
      </c>
      <c r="P37">
        <v>0.98730279530543308</v>
      </c>
    </row>
    <row r="38" spans="2:16">
      <c r="M38">
        <v>7</v>
      </c>
      <c r="N38">
        <v>0.86115500000000766</v>
      </c>
      <c r="O38">
        <v>-7.6605388699135801E-15</v>
      </c>
      <c r="P38">
        <v>-1.3127632300410734</v>
      </c>
    </row>
    <row r="39" spans="2:16">
      <c r="M39">
        <v>8</v>
      </c>
      <c r="N39">
        <v>0.88563500000000672</v>
      </c>
      <c r="O39">
        <v>-6.7723604502134549E-15</v>
      </c>
      <c r="P39">
        <v>-1.1554937582225091</v>
      </c>
    </row>
    <row r="40" spans="2:16">
      <c r="B40" t="s">
        <v>131</v>
      </c>
      <c r="M40">
        <v>9</v>
      </c>
      <c r="N40">
        <v>0.72576000000000462</v>
      </c>
      <c r="O40">
        <v>-4.6629367034256575E-15</v>
      </c>
      <c r="P40">
        <v>-0.78197876265341826</v>
      </c>
    </row>
    <row r="41" spans="2:16">
      <c r="M41">
        <v>10</v>
      </c>
      <c r="N41">
        <v>0.90361999999999421</v>
      </c>
      <c r="O41">
        <v>5.773159728050814E-15</v>
      </c>
      <c r="P41">
        <v>1.0659375312147155</v>
      </c>
    </row>
    <row r="42" spans="2:16">
      <c r="M42">
        <v>11</v>
      </c>
      <c r="N42">
        <v>0.92115499999999861</v>
      </c>
      <c r="O42">
        <v>1.3322676295501878E-15</v>
      </c>
      <c r="P42">
        <v>0.27959017212189252</v>
      </c>
    </row>
    <row r="43" spans="2:16">
      <c r="B43" s="10" t="s">
        <v>132</v>
      </c>
      <c r="C43" s="10" t="s">
        <v>133</v>
      </c>
      <c r="M43">
        <v>12</v>
      </c>
      <c r="N43">
        <v>0.83913500000000707</v>
      </c>
      <c r="O43">
        <v>-7.1054273576010019E-15</v>
      </c>
      <c r="P43">
        <v>-1.2144698101544709</v>
      </c>
    </row>
    <row r="44" spans="2:16">
      <c r="B44" s="10">
        <f>-20</f>
        <v>-20</v>
      </c>
      <c r="C44" s="10">
        <v>-40</v>
      </c>
      <c r="M44">
        <v>13</v>
      </c>
      <c r="N44">
        <v>0.8956950000000008</v>
      </c>
      <c r="O44">
        <v>-7.7715611723760958E-16</v>
      </c>
      <c r="P44">
        <v>-9.3924823447198283E-2</v>
      </c>
    </row>
    <row r="45" spans="2:16">
      <c r="B45" s="10">
        <f>-10</f>
        <v>-10</v>
      </c>
      <c r="C45" s="10">
        <v>-20</v>
      </c>
      <c r="M45">
        <v>14</v>
      </c>
      <c r="N45">
        <v>0.91417499999999596</v>
      </c>
      <c r="O45">
        <v>3.9968028886505635E-15</v>
      </c>
      <c r="P45">
        <v>0.75139858757758626</v>
      </c>
    </row>
    <row r="46" spans="2:16">
      <c r="B46" s="10">
        <f>0</f>
        <v>0</v>
      </c>
      <c r="C46" s="10">
        <f>10</f>
        <v>10</v>
      </c>
      <c r="M46">
        <v>15</v>
      </c>
      <c r="N46">
        <v>0.93524500000000221</v>
      </c>
      <c r="O46">
        <v>-2.2204460492503131E-15</v>
      </c>
      <c r="P46">
        <v>-0.34948771515236571</v>
      </c>
    </row>
    <row r="47" spans="2:16">
      <c r="B47" s="10">
        <v>10</v>
      </c>
      <c r="C47" s="10">
        <v>20</v>
      </c>
      <c r="M47">
        <v>16</v>
      </c>
      <c r="N47">
        <v>0.8802650000000054</v>
      </c>
      <c r="O47">
        <v>-5.440092820663267E-15</v>
      </c>
      <c r="P47">
        <v>-0.91958955049466229</v>
      </c>
    </row>
    <row r="48" spans="2:16">
      <c r="B48" s="10">
        <v>20</v>
      </c>
      <c r="C48" s="10">
        <v>40</v>
      </c>
      <c r="M48">
        <v>17</v>
      </c>
      <c r="N48">
        <v>0.69465500000000813</v>
      </c>
      <c r="O48">
        <v>-8.1046280797636427E-15</v>
      </c>
      <c r="P48">
        <v>-1.3913979659503557</v>
      </c>
    </row>
    <row r="49" spans="1:16">
      <c r="M49">
        <v>18</v>
      </c>
      <c r="N49">
        <v>0.87651500000000637</v>
      </c>
      <c r="O49">
        <v>-6.3282712403633923E-15</v>
      </c>
      <c r="P49">
        <v>-1.0768590223132268</v>
      </c>
    </row>
    <row r="50" spans="1:16">
      <c r="M50">
        <v>19</v>
      </c>
      <c r="N50">
        <v>0.87781000000000375</v>
      </c>
      <c r="O50">
        <v>-3.7747582837255322E-15</v>
      </c>
      <c r="P50">
        <v>-0.62470929083485371</v>
      </c>
    </row>
    <row r="51" spans="1:16">
      <c r="M51">
        <v>20</v>
      </c>
      <c r="N51">
        <v>0.76319000000000337</v>
      </c>
      <c r="O51">
        <v>-3.3306690738754696E-15</v>
      </c>
      <c r="P51">
        <v>-0.54607455492557144</v>
      </c>
    </row>
    <row r="52" spans="1:16">
      <c r="M52">
        <v>21</v>
      </c>
      <c r="N52">
        <v>0.96007999999999527</v>
      </c>
      <c r="O52">
        <v>4.7739590058881731E-15</v>
      </c>
      <c r="P52">
        <v>0.88900937541883018</v>
      </c>
    </row>
    <row r="53" spans="1:16">
      <c r="M53">
        <v>22</v>
      </c>
      <c r="N53">
        <v>0.86922500000000313</v>
      </c>
      <c r="O53">
        <v>-3.1086244689504383E-15</v>
      </c>
      <c r="P53">
        <v>-0.50675718697093031</v>
      </c>
    </row>
    <row r="54" spans="1:16">
      <c r="M54">
        <v>23</v>
      </c>
      <c r="N54">
        <v>0.87650500000000575</v>
      </c>
      <c r="O54">
        <v>-5.773159728050814E-15</v>
      </c>
      <c r="P54">
        <v>-0.97856560242662394</v>
      </c>
    </row>
    <row r="55" spans="1:16">
      <c r="B55" t="s">
        <v>131</v>
      </c>
      <c r="M55">
        <v>24</v>
      </c>
      <c r="N55">
        <v>0.8892649999999922</v>
      </c>
      <c r="O55">
        <v>7.7715611723760958E-15</v>
      </c>
      <c r="P55">
        <v>1.4197938428064858</v>
      </c>
    </row>
    <row r="56" spans="1:16">
      <c r="M56">
        <v>25</v>
      </c>
      <c r="N56">
        <v>0.9243100000000013</v>
      </c>
      <c r="O56">
        <v>-1.3322676295501878E-15</v>
      </c>
      <c r="P56">
        <v>-0.19221824333380114</v>
      </c>
    </row>
    <row r="57" spans="1:16">
      <c r="G57" t="s">
        <v>42</v>
      </c>
      <c r="M57">
        <v>26</v>
      </c>
      <c r="N57">
        <v>0.90607999999999633</v>
      </c>
      <c r="O57">
        <v>3.6637359812630166E-15</v>
      </c>
      <c r="P57">
        <v>0.6924225356456245</v>
      </c>
    </row>
    <row r="58" spans="1:16">
      <c r="A58" t="s">
        <v>33</v>
      </c>
      <c r="B58" s="11" t="s">
        <v>132</v>
      </c>
      <c r="C58" s="11" t="s">
        <v>133</v>
      </c>
      <c r="D58" t="s">
        <v>38</v>
      </c>
      <c r="E58" t="s">
        <v>39</v>
      </c>
      <c r="G58" t="s">
        <v>34</v>
      </c>
      <c r="H58" t="s">
        <v>37</v>
      </c>
      <c r="M58">
        <v>27</v>
      </c>
      <c r="N58">
        <v>0.94938999999999063</v>
      </c>
      <c r="O58">
        <v>9.3258734068513149E-15</v>
      </c>
      <c r="P58">
        <v>1.6950154184889736</v>
      </c>
    </row>
    <row r="59" spans="1:16">
      <c r="A59" s="11">
        <f>1</f>
        <v>1</v>
      </c>
      <c r="B59" s="11">
        <f>-20</f>
        <v>-20</v>
      </c>
      <c r="C59" s="11">
        <v>-40</v>
      </c>
      <c r="D59">
        <f>A59*$A$64+B59*$B$64</f>
        <v>-19</v>
      </c>
      <c r="E59">
        <f>D59-C59</f>
        <v>21</v>
      </c>
      <c r="G59">
        <f>-E59*A59</f>
        <v>-21</v>
      </c>
      <c r="H59">
        <f>-E59*B59</f>
        <v>420</v>
      </c>
    </row>
    <row r="60" spans="1:16">
      <c r="A60" s="11">
        <f>1</f>
        <v>1</v>
      </c>
      <c r="B60" s="11">
        <f>-10</f>
        <v>-10</v>
      </c>
      <c r="C60" s="11">
        <v>-20</v>
      </c>
      <c r="D60">
        <f t="shared" ref="D60:D63" si="1">A60*$A$64+B60*$B$64</f>
        <v>-9</v>
      </c>
      <c r="E60">
        <f t="shared" ref="E60:E63" si="2">D60-C60</f>
        <v>11</v>
      </c>
      <c r="G60">
        <f t="shared" ref="G60:G63" si="3">-E60*A60</f>
        <v>-11</v>
      </c>
      <c r="H60">
        <f t="shared" ref="H60:H63" si="4">-E60*B60</f>
        <v>110</v>
      </c>
    </row>
    <row r="61" spans="1:16">
      <c r="A61" s="11">
        <f>1</f>
        <v>1</v>
      </c>
      <c r="B61" s="11">
        <f>0</f>
        <v>0</v>
      </c>
      <c r="C61" s="11">
        <f>0</f>
        <v>0</v>
      </c>
      <c r="D61">
        <f t="shared" si="1"/>
        <v>1</v>
      </c>
      <c r="E61">
        <f t="shared" si="2"/>
        <v>1</v>
      </c>
      <c r="G61">
        <f t="shared" si="3"/>
        <v>-1</v>
      </c>
      <c r="H61">
        <f t="shared" si="4"/>
        <v>0</v>
      </c>
    </row>
    <row r="62" spans="1:16">
      <c r="A62" s="11">
        <f>1</f>
        <v>1</v>
      </c>
      <c r="B62" s="11">
        <v>10</v>
      </c>
      <c r="C62" s="11">
        <v>20</v>
      </c>
      <c r="D62">
        <f t="shared" si="1"/>
        <v>11</v>
      </c>
      <c r="E62">
        <f t="shared" si="2"/>
        <v>-9</v>
      </c>
      <c r="G62">
        <f t="shared" si="3"/>
        <v>9</v>
      </c>
      <c r="H62">
        <f t="shared" si="4"/>
        <v>90</v>
      </c>
    </row>
    <row r="63" spans="1:16">
      <c r="A63" s="11">
        <f>1</f>
        <v>1</v>
      </c>
      <c r="B63" s="11">
        <v>20</v>
      </c>
      <c r="C63" s="11">
        <v>40</v>
      </c>
      <c r="D63">
        <f t="shared" si="1"/>
        <v>21</v>
      </c>
      <c r="E63">
        <f t="shared" si="2"/>
        <v>-19</v>
      </c>
      <c r="G63">
        <f t="shared" si="3"/>
        <v>19</v>
      </c>
      <c r="H63">
        <f t="shared" si="4"/>
        <v>380</v>
      </c>
    </row>
    <row r="64" spans="1:16">
      <c r="A64">
        <f>1</f>
        <v>1</v>
      </c>
      <c r="B64">
        <f>1</f>
        <v>1</v>
      </c>
      <c r="E64" t="s">
        <v>31</v>
      </c>
      <c r="G64">
        <f>SUM(G59:G63)</f>
        <v>-5</v>
      </c>
      <c r="H64">
        <f>SUM(H59:H63)</f>
        <v>1000</v>
      </c>
    </row>
    <row r="65" spans="1:17">
      <c r="A65" t="s">
        <v>36</v>
      </c>
      <c r="B65" t="s">
        <v>37</v>
      </c>
      <c r="E65" t="s">
        <v>32</v>
      </c>
    </row>
    <row r="66" spans="1:17">
      <c r="A66" t="s">
        <v>35</v>
      </c>
    </row>
    <row r="67" spans="1:17">
      <c r="A67" t="s">
        <v>40</v>
      </c>
    </row>
    <row r="68" spans="1:17">
      <c r="A68" t="s">
        <v>41</v>
      </c>
    </row>
    <row r="75" spans="1:17">
      <c r="Q75" t="s">
        <v>134</v>
      </c>
    </row>
  </sheetData>
  <phoneticPr fontId="2" type="noConversion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0"/>
  <sheetViews>
    <sheetView topLeftCell="A22" workbookViewId="0">
      <selection activeCell="A36" sqref="A36:C40"/>
    </sheetView>
  </sheetViews>
  <sheetFormatPr baseColWidth="10" defaultRowHeight="13" x14ac:dyDescent="0"/>
  <cols>
    <col min="1" max="1" width="14.7109375" style="13" customWidth="1"/>
    <col min="2" max="16384" width="10.7109375" style="13"/>
  </cols>
  <sheetData>
    <row r="3" spans="1:11">
      <c r="B3" s="13" t="s">
        <v>140</v>
      </c>
      <c r="F3" s="13" t="s">
        <v>143</v>
      </c>
      <c r="I3" s="13" t="s">
        <v>152</v>
      </c>
    </row>
    <row r="5" spans="1:11">
      <c r="E5" s="13" t="s">
        <v>154</v>
      </c>
    </row>
    <row r="6" spans="1:11">
      <c r="A6" s="13" t="s">
        <v>153</v>
      </c>
      <c r="B6" s="13" t="s">
        <v>141</v>
      </c>
      <c r="C6" s="13" t="s">
        <v>142</v>
      </c>
      <c r="D6" s="13" t="s">
        <v>149</v>
      </c>
      <c r="E6" s="13" t="s">
        <v>150</v>
      </c>
      <c r="F6" s="13" t="s">
        <v>144</v>
      </c>
      <c r="G6" s="13" t="s">
        <v>145</v>
      </c>
      <c r="H6" s="13" t="s">
        <v>146</v>
      </c>
      <c r="I6" s="13" t="s">
        <v>151</v>
      </c>
      <c r="J6" s="13" t="s">
        <v>147</v>
      </c>
      <c r="K6" s="13" t="s">
        <v>148</v>
      </c>
    </row>
    <row r="8" spans="1:11">
      <c r="A8" s="13">
        <f>1</f>
        <v>1</v>
      </c>
      <c r="B8" s="13">
        <f>1</f>
        <v>1</v>
      </c>
      <c r="C8" s="13">
        <f>1</f>
        <v>1</v>
      </c>
      <c r="D8" s="13">
        <f>1</f>
        <v>1</v>
      </c>
      <c r="E8" s="13">
        <f>F8+B8*G8+C8*H8</f>
        <v>-0.5</v>
      </c>
      <c r="F8" s="13">
        <f>-1</f>
        <v>-1</v>
      </c>
      <c r="G8" s="13">
        <f>0.25</f>
        <v>0.25</v>
      </c>
      <c r="H8" s="13">
        <f>0.25</f>
        <v>0.25</v>
      </c>
      <c r="I8" s="13">
        <f>1*D8</f>
        <v>1</v>
      </c>
      <c r="J8" s="13">
        <f>D8*B8</f>
        <v>1</v>
      </c>
      <c r="K8" s="13">
        <f>D8*C8</f>
        <v>1</v>
      </c>
    </row>
    <row r="9" spans="1:11">
      <c r="A9" s="13">
        <f>1</f>
        <v>1</v>
      </c>
      <c r="B9" s="13">
        <v>0</v>
      </c>
      <c r="C9" s="13">
        <v>1</v>
      </c>
      <c r="D9" s="13">
        <f>-1</f>
        <v>-1</v>
      </c>
      <c r="E9" s="13">
        <f t="shared" ref="E9:E11" si="0">F9+B9*G9+C9*H9</f>
        <v>1.25</v>
      </c>
      <c r="F9" s="13">
        <f>F8+I8</f>
        <v>0</v>
      </c>
      <c r="G9" s="13">
        <f t="shared" ref="G9:H9" si="1">G8+J8</f>
        <v>1.25</v>
      </c>
      <c r="H9" s="13">
        <f t="shared" si="1"/>
        <v>1.25</v>
      </c>
      <c r="I9" s="13">
        <f>1*D9</f>
        <v>-1</v>
      </c>
      <c r="J9" s="13">
        <f>D9*B9</f>
        <v>0</v>
      </c>
      <c r="K9" s="13">
        <f>D9*C9</f>
        <v>-1</v>
      </c>
    </row>
    <row r="10" spans="1:11">
      <c r="A10" s="13">
        <f>1</f>
        <v>1</v>
      </c>
      <c r="B10" s="13">
        <v>1</v>
      </c>
      <c r="C10" s="13">
        <v>0</v>
      </c>
      <c r="D10" s="13">
        <f>-1</f>
        <v>-1</v>
      </c>
      <c r="E10" s="13">
        <f t="shared" si="0"/>
        <v>0.25</v>
      </c>
      <c r="F10" s="13">
        <f>F9+I9</f>
        <v>-1</v>
      </c>
      <c r="G10" s="13">
        <f t="shared" ref="G10" si="2">G9+J9</f>
        <v>1.25</v>
      </c>
      <c r="H10" s="13">
        <f t="shared" ref="H10" si="3">H9+K9</f>
        <v>0.25</v>
      </c>
      <c r="I10" s="13">
        <f>1*D10</f>
        <v>-1</v>
      </c>
      <c r="J10" s="13">
        <f>D10*B10</f>
        <v>-1</v>
      </c>
      <c r="K10" s="13">
        <f>D10*C10</f>
        <v>0</v>
      </c>
    </row>
    <row r="11" spans="1:11">
      <c r="A11" s="13">
        <f>1</f>
        <v>1</v>
      </c>
      <c r="B11" s="13">
        <f>0</f>
        <v>0</v>
      </c>
      <c r="C11" s="13">
        <v>1</v>
      </c>
      <c r="D11" s="13">
        <f>-1</f>
        <v>-1</v>
      </c>
      <c r="E11" s="13">
        <f t="shared" si="0"/>
        <v>-1.75</v>
      </c>
      <c r="F11" s="13">
        <f>F10+I10</f>
        <v>-2</v>
      </c>
      <c r="G11" s="13">
        <f t="shared" ref="G11" si="4">G10+J10</f>
        <v>0.25</v>
      </c>
      <c r="H11" s="13">
        <f t="shared" ref="H11" si="5">H10+K10</f>
        <v>0.25</v>
      </c>
    </row>
    <row r="14" spans="1:11">
      <c r="A14" s="13" t="s">
        <v>155</v>
      </c>
    </row>
    <row r="16" spans="1:11">
      <c r="E16" s="13" t="s">
        <v>154</v>
      </c>
    </row>
    <row r="17" spans="1:11">
      <c r="A17" s="13" t="s">
        <v>153</v>
      </c>
      <c r="B17" s="13" t="s">
        <v>141</v>
      </c>
      <c r="C17" s="13" t="s">
        <v>142</v>
      </c>
      <c r="D17" s="13" t="s">
        <v>149</v>
      </c>
      <c r="E17" s="13" t="s">
        <v>150</v>
      </c>
      <c r="F17" s="13" t="s">
        <v>144</v>
      </c>
      <c r="G17" s="13" t="s">
        <v>145</v>
      </c>
      <c r="H17" s="13" t="s">
        <v>146</v>
      </c>
      <c r="I17" s="13" t="s">
        <v>151</v>
      </c>
      <c r="J17" s="13" t="s">
        <v>147</v>
      </c>
      <c r="K17" s="13" t="s">
        <v>148</v>
      </c>
    </row>
    <row r="19" spans="1:11">
      <c r="A19" s="13">
        <f>1</f>
        <v>1</v>
      </c>
      <c r="B19" s="13">
        <f>1</f>
        <v>1</v>
      </c>
      <c r="C19" s="13">
        <f>1</f>
        <v>1</v>
      </c>
      <c r="D19" s="13">
        <f>1</f>
        <v>1</v>
      </c>
      <c r="E19" s="13">
        <f>F19+B19*G19+C19*H19</f>
        <v>-1.5</v>
      </c>
      <c r="F19" s="13">
        <f>F11</f>
        <v>-2</v>
      </c>
      <c r="G19" s="13">
        <f t="shared" ref="G19:H19" si="6">G11</f>
        <v>0.25</v>
      </c>
      <c r="H19" s="13">
        <f t="shared" si="6"/>
        <v>0.25</v>
      </c>
      <c r="I19" s="13">
        <f>1*D19</f>
        <v>1</v>
      </c>
      <c r="J19" s="13">
        <f>D19*B19</f>
        <v>1</v>
      </c>
      <c r="K19" s="13">
        <f>D19*C19</f>
        <v>1</v>
      </c>
    </row>
    <row r="20" spans="1:11">
      <c r="A20" s="13">
        <f>1</f>
        <v>1</v>
      </c>
      <c r="B20" s="13">
        <v>0</v>
      </c>
      <c r="C20" s="13">
        <v>1</v>
      </c>
      <c r="D20" s="13">
        <f>-1</f>
        <v>-1</v>
      </c>
      <c r="E20" s="13">
        <f t="shared" ref="E20:E22" si="7">F20+B20*G20+C20*H20</f>
        <v>0.25</v>
      </c>
      <c r="F20" s="13">
        <f>F19+I19</f>
        <v>-1</v>
      </c>
      <c r="G20" s="13">
        <f t="shared" ref="G20:G22" si="8">G19+J19</f>
        <v>1.25</v>
      </c>
      <c r="H20" s="13">
        <f t="shared" ref="H20:H22" si="9">H19+K19</f>
        <v>1.25</v>
      </c>
      <c r="I20" s="13">
        <f>1*D20</f>
        <v>-1</v>
      </c>
      <c r="J20" s="13">
        <f>D20*B20</f>
        <v>0</v>
      </c>
      <c r="K20" s="13">
        <f>D20*C20</f>
        <v>-1</v>
      </c>
    </row>
    <row r="21" spans="1:11">
      <c r="A21" s="13">
        <f>1</f>
        <v>1</v>
      </c>
      <c r="B21" s="13">
        <v>1</v>
      </c>
      <c r="C21" s="13">
        <v>0</v>
      </c>
      <c r="D21" s="13">
        <f>-1</f>
        <v>-1</v>
      </c>
      <c r="E21" s="13">
        <f t="shared" si="7"/>
        <v>-0.75</v>
      </c>
      <c r="F21" s="13">
        <f>F20+I20</f>
        <v>-2</v>
      </c>
      <c r="G21" s="13">
        <f t="shared" si="8"/>
        <v>1.25</v>
      </c>
      <c r="H21" s="13">
        <f t="shared" si="9"/>
        <v>0.25</v>
      </c>
    </row>
    <row r="22" spans="1:11">
      <c r="A22" s="13">
        <f>1</f>
        <v>1</v>
      </c>
      <c r="B22" s="13">
        <f>0</f>
        <v>0</v>
      </c>
      <c r="C22" s="13">
        <v>1</v>
      </c>
      <c r="D22" s="13">
        <f>-1</f>
        <v>-1</v>
      </c>
      <c r="E22" s="13">
        <f t="shared" si="7"/>
        <v>-1.75</v>
      </c>
      <c r="F22" s="13">
        <f>F21+I21</f>
        <v>-2</v>
      </c>
      <c r="G22" s="13">
        <f t="shared" si="8"/>
        <v>1.25</v>
      </c>
      <c r="H22" s="13">
        <f t="shared" si="9"/>
        <v>0.25</v>
      </c>
    </row>
    <row r="26" spans="1:11">
      <c r="A26" s="13" t="s">
        <v>153</v>
      </c>
      <c r="B26" s="13" t="s">
        <v>141</v>
      </c>
      <c r="C26" s="13" t="s">
        <v>142</v>
      </c>
      <c r="D26" s="13" t="s">
        <v>149</v>
      </c>
      <c r="E26" s="13" t="s">
        <v>150</v>
      </c>
      <c r="F26" s="13" t="s">
        <v>144</v>
      </c>
      <c r="G26" s="13" t="s">
        <v>145</v>
      </c>
      <c r="H26" s="13" t="s">
        <v>146</v>
      </c>
    </row>
    <row r="28" spans="1:11">
      <c r="A28" s="13">
        <f>1</f>
        <v>1</v>
      </c>
      <c r="B28" s="13">
        <f>1</f>
        <v>1</v>
      </c>
      <c r="C28" s="13">
        <f>1</f>
        <v>1</v>
      </c>
      <c r="D28" s="13">
        <f>1</f>
        <v>1</v>
      </c>
      <c r="E28" s="13">
        <f>$F$28+B28*$G$28+C28*$H$28</f>
        <v>0.5</v>
      </c>
      <c r="F28" s="13">
        <f>-1</f>
        <v>-1</v>
      </c>
      <c r="G28" s="13">
        <f>0.75</f>
        <v>0.75</v>
      </c>
      <c r="H28" s="13">
        <f>0.75</f>
        <v>0.75</v>
      </c>
    </row>
    <row r="29" spans="1:11">
      <c r="A29" s="13">
        <f>1</f>
        <v>1</v>
      </c>
      <c r="B29" s="13">
        <v>0</v>
      </c>
      <c r="C29" s="13">
        <v>1</v>
      </c>
      <c r="D29" s="13">
        <f>-1</f>
        <v>-1</v>
      </c>
      <c r="E29" s="13">
        <f>$F$28+B29*$G$28+C29*$H$28</f>
        <v>-0.25</v>
      </c>
    </row>
    <row r="30" spans="1:11">
      <c r="A30" s="13">
        <f>1</f>
        <v>1</v>
      </c>
      <c r="B30" s="13">
        <v>1</v>
      </c>
      <c r="C30" s="13">
        <v>0</v>
      </c>
      <c r="D30" s="13">
        <f>-1</f>
        <v>-1</v>
      </c>
      <c r="E30" s="13">
        <f>$F$28+B30*$G$28+C30*$H$28</f>
        <v>-0.25</v>
      </c>
    </row>
    <row r="31" spans="1:11">
      <c r="A31" s="13">
        <f>1</f>
        <v>1</v>
      </c>
      <c r="B31" s="13">
        <f>0</f>
        <v>0</v>
      </c>
      <c r="C31" s="13">
        <v>1</v>
      </c>
      <c r="D31" s="13">
        <f>-1</f>
        <v>-1</v>
      </c>
      <c r="E31" s="13">
        <f>$F$28+B31*$G$28+C31*$H$28</f>
        <v>-0.25</v>
      </c>
    </row>
    <row r="34" spans="1:3">
      <c r="A34" s="13" t="s">
        <v>156</v>
      </c>
      <c r="B34" s="13" t="s">
        <v>157</v>
      </c>
    </row>
    <row r="36" spans="1:3">
      <c r="A36" s="13" t="s">
        <v>141</v>
      </c>
      <c r="B36" s="13" t="s">
        <v>142</v>
      </c>
      <c r="C36" s="13" t="s">
        <v>149</v>
      </c>
    </row>
    <row r="37" spans="1:3">
      <c r="A37" s="13">
        <f>1</f>
        <v>1</v>
      </c>
      <c r="B37" s="13">
        <f>1</f>
        <v>1</v>
      </c>
      <c r="C37" s="13">
        <f>0</f>
        <v>0</v>
      </c>
    </row>
    <row r="38" spans="1:3">
      <c r="A38" s="13">
        <v>0</v>
      </c>
      <c r="B38" s="13">
        <v>1</v>
      </c>
      <c r="C38" s="13">
        <f>1</f>
        <v>1</v>
      </c>
    </row>
    <row r="39" spans="1:3">
      <c r="A39" s="13">
        <v>1</v>
      </c>
      <c r="B39" s="13">
        <v>0</v>
      </c>
      <c r="C39" s="13">
        <f>1</f>
        <v>1</v>
      </c>
    </row>
    <row r="40" spans="1:3">
      <c r="A40" s="13">
        <f>0</f>
        <v>0</v>
      </c>
      <c r="B40" s="13">
        <v>1</v>
      </c>
      <c r="C40" s="13">
        <f>0</f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tabSelected="1" workbookViewId="0">
      <selection activeCell="D11" sqref="D11"/>
    </sheetView>
  </sheetViews>
  <sheetFormatPr baseColWidth="10" defaultRowHeight="13" x14ac:dyDescent="0"/>
  <sheetData>
    <row r="3" spans="1:5" ht="15">
      <c r="A3" s="15" t="s">
        <v>158</v>
      </c>
      <c r="B3" s="15"/>
      <c r="C3" s="15"/>
      <c r="D3" s="15" t="s">
        <v>159</v>
      </c>
      <c r="E3" s="15"/>
    </row>
    <row r="4" spans="1:5" ht="15">
      <c r="A4" s="15" t="s">
        <v>141</v>
      </c>
      <c r="B4" s="15" t="s">
        <v>142</v>
      </c>
      <c r="C4" s="15"/>
      <c r="D4" s="15" t="s">
        <v>141</v>
      </c>
      <c r="E4" s="15" t="s">
        <v>142</v>
      </c>
    </row>
    <row r="5" spans="1:5" ht="15">
      <c r="A5" s="15">
        <v>10</v>
      </c>
      <c r="B5" s="15">
        <v>0</v>
      </c>
      <c r="C5" s="15"/>
      <c r="D5" s="15">
        <v>5</v>
      </c>
      <c r="E5" s="15">
        <v>10</v>
      </c>
    </row>
    <row r="6" spans="1:5" ht="15">
      <c r="A6" s="15">
        <v>0</v>
      </c>
      <c r="B6" s="15">
        <v>-10</v>
      </c>
      <c r="C6" s="15"/>
      <c r="D6" s="15">
        <v>0</v>
      </c>
      <c r="E6" s="15">
        <v>5</v>
      </c>
    </row>
    <row r="7" spans="1:5" ht="15">
      <c r="A7" s="15">
        <v>5</v>
      </c>
      <c r="B7" s="15">
        <v>-2</v>
      </c>
      <c r="C7" s="15"/>
      <c r="D7" s="15">
        <v>5</v>
      </c>
      <c r="E7" s="15">
        <v>-2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computations</vt:lpstr>
      <vt:lpstr>joint-table</vt:lpstr>
      <vt:lpstr>Bayesian coin</vt:lpstr>
      <vt:lpstr>Naive Bayes</vt:lpstr>
      <vt:lpstr>regress</vt:lpstr>
      <vt:lpstr>perceptron</vt:lpstr>
      <vt:lpstr>nearest-neighbor</vt:lpstr>
    </vt:vector>
  </TitlesOfParts>
  <Company>Simon Fraser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Schulte</dc:creator>
  <cp:lastModifiedBy>Oliver Schulte</cp:lastModifiedBy>
  <dcterms:created xsi:type="dcterms:W3CDTF">2011-08-04T19:28:48Z</dcterms:created>
  <dcterms:modified xsi:type="dcterms:W3CDTF">2012-11-01T23:21:30Z</dcterms:modified>
</cp:coreProperties>
</file>